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<sst xmlns="http://schemas.openxmlformats.org/spreadsheetml/2006/main" count="243" uniqueCount="129">
  <si>
    <t>tepelné ztráty obvodové zdi</t>
  </si>
  <si>
    <t>přepočet výkonu na</t>
  </si>
  <si>
    <t>vrt 112m max. 19 MWh/rok, to je tepelná ztráta max. 10 KW</t>
  </si>
  <si>
    <t>boční stěna západ</t>
  </si>
  <si>
    <t>střecha</t>
  </si>
  <si>
    <t>teplota vnější</t>
  </si>
  <si>
    <t>roční spotřebu (denostupně)</t>
  </si>
  <si>
    <t>vrstva</t>
  </si>
  <si>
    <t>tloušťka</t>
  </si>
  <si>
    <t>lambda</t>
  </si>
  <si>
    <t>Rj</t>
  </si>
  <si>
    <t>teplota vnitřní obyvák, kuchyň</t>
  </si>
  <si>
    <t>spotřeba elektrokotel</t>
  </si>
  <si>
    <t xml:space="preserve">+ paušál </t>
  </si>
  <si>
    <t>COP TČ</t>
  </si>
  <si>
    <t>spotřeba</t>
  </si>
  <si>
    <t>vnitřní omítka</t>
  </si>
  <si>
    <t>teplota ložnice, pokojíček, koupelna</t>
  </si>
  <si>
    <t>příkon [KW]</t>
  </si>
  <si>
    <t>MWh/rok</t>
  </si>
  <si>
    <t>Kč/rok, 3Kč/KWh</t>
  </si>
  <si>
    <t>tvárnice</t>
  </si>
  <si>
    <t>polystyrén</t>
  </si>
  <si>
    <t>teplota přízemí</t>
  </si>
  <si>
    <t>tep. ztráty [KW]</t>
  </si>
  <si>
    <t>polystyrén NEO70</t>
  </si>
  <si>
    <t>cementový potěr</t>
  </si>
  <si>
    <t>teplota sklep</t>
  </si>
  <si>
    <t>nezatepleno</t>
  </si>
  <si>
    <t>venkovní omítka</t>
  </si>
  <si>
    <t>škvárobeton</t>
  </si>
  <si>
    <t>teplota garáž</t>
  </si>
  <si>
    <t>tep. odpor Rsi</t>
  </si>
  <si>
    <t>sypaný plynosilikát</t>
  </si>
  <si>
    <t>teplota zem</t>
  </si>
  <si>
    <t>jen podlahy</t>
  </si>
  <si>
    <t>tep. odpor Rse</t>
  </si>
  <si>
    <t>jen stěny 12 a 15 cm</t>
  </si>
  <si>
    <t>tep. odpor/m2</t>
  </si>
  <si>
    <t>hurdisky</t>
  </si>
  <si>
    <t>polystyrén přední/zadní stěna</t>
  </si>
  <si>
    <t>jen stěny 15 a 20 cm</t>
  </si>
  <si>
    <t>výška zdí patro</t>
  </si>
  <si>
    <t>omítka</t>
  </si>
  <si>
    <t>polystyrén boční stěny</t>
  </si>
  <si>
    <t>jen stěny 20 a 15 cm</t>
  </si>
  <si>
    <t>délka</t>
  </si>
  <si>
    <t xml:space="preserve">plocha zdí </t>
  </si>
  <si>
    <t>zateplení střechy zap(1) / vyp(0)</t>
  </si>
  <si>
    <t>stěny + střecha 10 cm</t>
  </si>
  <si>
    <t>tepelný odpor</t>
  </si>
  <si>
    <t>zateplení obvodové stěny západ</t>
  </si>
  <si>
    <t>stěny + střecha 20 cm</t>
  </si>
  <si>
    <t>tepelná ztráta</t>
  </si>
  <si>
    <t>zateplení obvodové stěny východ</t>
  </si>
  <si>
    <t>zateplení obvodových stěn sever, jih</t>
  </si>
  <si>
    <t>polystyrén cena</t>
  </si>
  <si>
    <t>původní spotřeba</t>
  </si>
  <si>
    <t>šířka</t>
  </si>
  <si>
    <t xml:space="preserve">zatepl. strop garáž, sklep </t>
  </si>
  <si>
    <t xml:space="preserve">50-60 q uhlí, to je </t>
  </si>
  <si>
    <t>boční stěna východ</t>
  </si>
  <si>
    <t>plocha nad nevytápěnou částí</t>
  </si>
  <si>
    <t>zatepl. strop prádelna, dílna</t>
  </si>
  <si>
    <t>boční zdi plocha</t>
  </si>
  <si>
    <t>tepelný odpor vyt. část</t>
  </si>
  <si>
    <t>zatepl. stěna garáž, sklep</t>
  </si>
  <si>
    <t>cena za m2</t>
  </si>
  <si>
    <t>výhřevnost uhlí 8,39 KWh/kg</t>
  </si>
  <si>
    <t>tepelná ztráta vyt. část</t>
  </si>
  <si>
    <t>okna nová (1)/stará (0)</t>
  </si>
  <si>
    <t xml:space="preserve">cena   </t>
  </si>
  <si>
    <t>účinnost kotle 70%</t>
  </si>
  <si>
    <t>tepelný odpor nevyt. část</t>
  </si>
  <si>
    <t>Tepelná ztráta celková</t>
  </si>
  <si>
    <t>30-35 MWh/rok</t>
  </si>
  <si>
    <t>tepelná ztráta nevyt. část</t>
  </si>
  <si>
    <t>přední/zadní zdi</t>
  </si>
  <si>
    <t>60q*350 Kč=21000 Kč</t>
  </si>
  <si>
    <t>tepelná ztráta celková</t>
  </si>
  <si>
    <t>stěna garáž-chodba</t>
  </si>
  <si>
    <t>podlaha</t>
  </si>
  <si>
    <t>fasáda cena</t>
  </si>
  <si>
    <t>železobeton</t>
  </si>
  <si>
    <t>tep. odpor Rsi+Rse</t>
  </si>
  <si>
    <t>plocha stěn</t>
  </si>
  <si>
    <t>spotřeba kg/m2</t>
  </si>
  <si>
    <t>cena /25 kg</t>
  </si>
  <si>
    <t>cena fasády</t>
  </si>
  <si>
    <t>přední/zadní stěna</t>
  </si>
  <si>
    <t>výška zdi</t>
  </si>
  <si>
    <t>plocha chodba, schodiště</t>
  </si>
  <si>
    <t>perlinka</t>
  </si>
  <si>
    <t>plocha sklep, garáž</t>
  </si>
  <si>
    <t>tepelný odpor podlahy</t>
  </si>
  <si>
    <t>pro 0,1m úspora 180W</t>
  </si>
  <si>
    <t>lepidlo 4 kg/m2</t>
  </si>
  <si>
    <t>lepící pěna na 7m2</t>
  </si>
  <si>
    <t>strop sklep</t>
  </si>
  <si>
    <t>sklep plocha</t>
  </si>
  <si>
    <t>stěna sklep-chodba</t>
  </si>
  <si>
    <t>materiál celkem</t>
  </si>
  <si>
    <t>plocha zdí bez oken</t>
  </si>
  <si>
    <t>¨</t>
  </si>
  <si>
    <t>plocha oken</t>
  </si>
  <si>
    <t>tep. ztráty nad sklepem</t>
  </si>
  <si>
    <t>strop garáž</t>
  </si>
  <si>
    <t>garáž plocha</t>
  </si>
  <si>
    <t>okna</t>
  </si>
  <si>
    <t>Rt oken/m2</t>
  </si>
  <si>
    <t>stará okna</t>
  </si>
  <si>
    <t xml:space="preserve">Rt    </t>
  </si>
  <si>
    <t>tep. ztráty nad garáží</t>
  </si>
  <si>
    <t>plochy</t>
  </si>
  <si>
    <t>Rt</t>
  </si>
  <si>
    <t>tep. vodivost</t>
  </si>
  <si>
    <t>teploty</t>
  </si>
  <si>
    <t>plocha v zemi</t>
  </si>
  <si>
    <t>stěna-venek</t>
  </si>
  <si>
    <t>vrata-venek</t>
  </si>
  <si>
    <t>stěna-sklep</t>
  </si>
  <si>
    <t>stěna-chodba</t>
  </si>
  <si>
    <t>stěna-garáž</t>
  </si>
  <si>
    <t>strop</t>
  </si>
  <si>
    <t>vodivost celk.</t>
  </si>
  <si>
    <t>teplota</t>
  </si>
  <si>
    <t>polystyrén vrata</t>
  </si>
  <si>
    <t>Váš dotaz byl odeslán do střediska EKIS. Odpověď Vám přijde do týdne emailem. Zapamatujte si číslo svého dotazu - 114423, podle kterého si později vyhledáte odpověď. Najdete ji na těchto stránkách na adrese:</t>
  </si>
  <si>
    <t>https://www.mpo-efekt.cz/cz/programy-podpory/efekt/i-ekis/114423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</si>
</sst>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7];[RED]\-#,##0.00\ [$€-407]"/>
    <numFmt numFmtId="166" formatCode="0.00"/>
    <numFmt numFmtId="167" formatCode="0.000"/>
    <numFmt numFmtId="168" formatCode="#,##0.00"/>
    <numFmt numFmtId="169" formatCode="General"/>
    <numFmt numFmtId="170" formatCode="0.00000"/>
    <numFmt numFmtId="171" formatCode="0"/>
    <numFmt numFmtId="172" formatCode="0.0000"/>
  </numFmts>
  <fonts count="4">
    <font>
      <sz val="10"/>
      <name val="Arial"/>
      <family val="2"/>
    </font>
    <font>
      <b/>
      <i/>
      <u val="single"/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4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 style="medium">
        <color indexed="24"/>
      </right>
      <top style="medium">
        <color indexed="24"/>
      </top>
      <bottom>
        <color indexed="63"/>
      </bottom>
    </border>
    <border>
      <left style="medium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4"/>
      </right>
      <top>
        <color indexed="63"/>
      </top>
      <bottom>
        <color indexed="63"/>
      </bottom>
    </border>
    <border>
      <left style="medium">
        <color indexed="24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 style="medium">
        <color indexed="24"/>
      </right>
      <top>
        <color indexed="63"/>
      </top>
      <bottom style="medium">
        <color indexed="24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6" fontId="0" fillId="0" borderId="0" xfId="0" applyNumberFormat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3" borderId="4" xfId="0" applyFont="1" applyFill="1" applyBorder="1" applyAlignment="1">
      <alignment/>
    </xf>
    <xf numFmtId="167" fontId="0" fillId="0" borderId="5" xfId="0" applyNumberFormat="1" applyBorder="1" applyAlignment="1">
      <alignment/>
    </xf>
    <xf numFmtId="164" fontId="0" fillId="4" borderId="0" xfId="0" applyNumberFormat="1" applyFill="1" applyAlignment="1">
      <alignment/>
    </xf>
    <xf numFmtId="164" fontId="0" fillId="3" borderId="6" xfId="0" applyFont="1" applyFill="1" applyBorder="1" applyAlignment="1">
      <alignment/>
    </xf>
    <xf numFmtId="170" fontId="0" fillId="4" borderId="0" xfId="0" applyNumberFormat="1" applyFill="1" applyAlignment="1">
      <alignment/>
    </xf>
    <xf numFmtId="164" fontId="0" fillId="3" borderId="7" xfId="0" applyFont="1" applyFill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5" borderId="9" xfId="0" applyNumberFormat="1" applyFill="1" applyBorder="1" applyAlignment="1">
      <alignment/>
    </xf>
    <xf numFmtId="164" fontId="0" fillId="0" borderId="10" xfId="0" applyBorder="1" applyAlignment="1">
      <alignment/>
    </xf>
    <xf numFmtId="167" fontId="0" fillId="4" borderId="5" xfId="0" applyNumberFormat="1" applyFill="1" applyBorder="1" applyAlignment="1">
      <alignment/>
    </xf>
    <xf numFmtId="167" fontId="0" fillId="5" borderId="5" xfId="0" applyNumberFormat="1" applyFill="1" applyBorder="1" applyAlignment="1">
      <alignment/>
    </xf>
    <xf numFmtId="171" fontId="0" fillId="6" borderId="11" xfId="0" applyNumberFormat="1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7" borderId="12" xfId="0" applyFont="1" applyFill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5" borderId="18" xfId="0" applyNumberFormat="1" applyFill="1" applyBorder="1" applyAlignment="1">
      <alignment/>
    </xf>
    <xf numFmtId="164" fontId="0" fillId="8" borderId="19" xfId="0" applyFont="1" applyFill="1" applyBorder="1" applyAlignment="1">
      <alignment/>
    </xf>
    <xf numFmtId="167" fontId="0" fillId="5" borderId="10" xfId="0" applyNumberFormat="1" applyFill="1" applyBorder="1" applyAlignment="1">
      <alignment/>
    </xf>
    <xf numFmtId="167" fontId="0" fillId="0" borderId="16" xfId="0" applyNumberFormat="1" applyBorder="1" applyAlignment="1">
      <alignment/>
    </xf>
    <xf numFmtId="164" fontId="0" fillId="4" borderId="16" xfId="0" applyNumberFormat="1" applyFill="1" applyBorder="1" applyAlignment="1">
      <alignment/>
    </xf>
    <xf numFmtId="170" fontId="0" fillId="4" borderId="16" xfId="0" applyNumberFormat="1" applyFill="1" applyBorder="1" applyAlignment="1">
      <alignment/>
    </xf>
    <xf numFmtId="164" fontId="0" fillId="4" borderId="5" xfId="0" applyNumberFormat="1" applyFill="1" applyBorder="1" applyAlignment="1">
      <alignment/>
    </xf>
    <xf numFmtId="164" fontId="0" fillId="5" borderId="19" xfId="0" applyNumberFormat="1" applyFill="1" applyBorder="1" applyAlignment="1">
      <alignment/>
    </xf>
    <xf numFmtId="164" fontId="0" fillId="9" borderId="0" xfId="0" applyFill="1" applyAlignment="1">
      <alignment/>
    </xf>
    <xf numFmtId="164" fontId="0" fillId="2" borderId="20" xfId="0" applyFont="1" applyFill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4" xfId="0" applyFont="1" applyBorder="1" applyAlignment="1">
      <alignment horizontal="right"/>
    </xf>
    <xf numFmtId="172" fontId="0" fillId="0" borderId="0" xfId="0" applyNumberFormat="1" applyAlignment="1">
      <alignment/>
    </xf>
    <xf numFmtId="166" fontId="0" fillId="0" borderId="24" xfId="0" applyNumberFormat="1" applyBorder="1" applyAlignment="1">
      <alignment/>
    </xf>
    <xf numFmtId="170" fontId="0" fillId="0" borderId="0" xfId="0" applyNumberFormat="1" applyFont="1" applyAlignment="1">
      <alignment/>
    </xf>
    <xf numFmtId="164" fontId="0" fillId="8" borderId="24" xfId="0" applyNumberFormat="1" applyFill="1" applyBorder="1" applyAlignment="1">
      <alignment/>
    </xf>
    <xf numFmtId="164" fontId="0" fillId="0" borderId="0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8" borderId="27" xfId="0" applyNumberFormat="1" applyFill="1" applyBorder="1" applyAlignment="1">
      <alignment/>
    </xf>
    <xf numFmtId="164" fontId="0" fillId="9" borderId="26" xfId="0" applyNumberFormat="1" applyFill="1" applyBorder="1" applyAlignment="1">
      <alignment/>
    </xf>
    <xf numFmtId="164" fontId="0" fillId="0" borderId="27" xfId="0" applyBorder="1" applyAlignment="1">
      <alignment/>
    </xf>
    <xf numFmtId="164" fontId="0" fillId="0" borderId="11" xfId="0" applyBorder="1" applyAlignment="1">
      <alignment/>
    </xf>
    <xf numFmtId="164" fontId="2" fillId="3" borderId="0" xfId="0" applyFont="1" applyFill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ýslede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729FC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B2B2B2"/>
      <rgbColor rgb="00D4EA6B"/>
      <rgbColor rgb="003366FF"/>
      <rgbColor rgb="0066FFFF"/>
      <rgbColor rgb="0099CC00"/>
      <rgbColor rgb="00FFCC00"/>
      <rgbColor rgb="00FF9900"/>
      <rgbColor rgb="00FF6600"/>
      <rgbColor rgb="003465A4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po-efekt.cz/cz/programy-podpory/efekt/i-ekis/11442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workbookViewId="0" topLeftCell="I1">
      <selection activeCell="N14" sqref="N14"/>
    </sheetView>
  </sheetViews>
  <sheetFormatPr defaultColWidth="9.140625" defaultRowHeight="12.75"/>
  <cols>
    <col min="1" max="1" width="11.57421875" style="0" customWidth="1"/>
    <col min="2" max="2" width="18.57421875" style="0" customWidth="1"/>
    <col min="3" max="3" width="13.421875" style="0" customWidth="1"/>
    <col min="4" max="4" width="14.28125" style="0" customWidth="1"/>
    <col min="5" max="5" width="12.00390625" style="0" customWidth="1"/>
    <col min="6" max="6" width="16.8515625" style="0" customWidth="1"/>
    <col min="7" max="7" width="12.7109375" style="0" customWidth="1"/>
    <col min="8" max="8" width="16.8515625" style="0" customWidth="1"/>
    <col min="9" max="9" width="13.421875" style="0" customWidth="1"/>
    <col min="10" max="10" width="25.00390625" style="0" customWidth="1"/>
    <col min="11" max="11" width="13.7109375" style="0" customWidth="1"/>
    <col min="12" max="12" width="11.57421875" style="0" customWidth="1"/>
    <col min="13" max="13" width="31.00390625" style="0" customWidth="1"/>
    <col min="14" max="14" width="11.57421875" style="0" customWidth="1"/>
    <col min="15" max="15" width="14.421875" style="0" customWidth="1"/>
    <col min="16" max="16" width="19.7109375" style="0" customWidth="1"/>
    <col min="17" max="17" width="23.28125" style="0" customWidth="1"/>
    <col min="18" max="18" width="11.8515625" style="0" customWidth="1"/>
    <col min="19" max="19" width="11.57421875" style="0" customWidth="1"/>
    <col min="20" max="20" width="16.8515625" style="0" customWidth="1"/>
    <col min="21" max="21" width="16.421875" style="0" customWidth="1"/>
    <col min="22" max="22" width="11.57421875" style="0" customWidth="1"/>
    <col min="23" max="23" width="18.57421875" style="0" customWidth="1"/>
    <col min="24" max="24" width="12.140625" style="0" customWidth="1"/>
    <col min="25" max="25" width="15.00390625" style="0" customWidth="1"/>
    <col min="26" max="26" width="15.28125" style="0" customWidth="1"/>
    <col min="27" max="16384" width="11.57421875" style="0" customWidth="1"/>
  </cols>
  <sheetData>
    <row r="1" ht="12.75">
      <c r="A1" t="s">
        <v>0</v>
      </c>
    </row>
    <row r="2" spans="17:19" ht="12.75">
      <c r="Q2" t="s">
        <v>1</v>
      </c>
      <c r="S2" t="s">
        <v>2</v>
      </c>
    </row>
    <row r="3" spans="2:17" ht="12.75">
      <c r="B3" s="1" t="s">
        <v>3</v>
      </c>
      <c r="C3" s="2"/>
      <c r="D3" s="2"/>
      <c r="E3" s="2"/>
      <c r="F3" s="3"/>
      <c r="H3" s="1" t="s">
        <v>4</v>
      </c>
      <c r="I3" s="2"/>
      <c r="J3" s="2"/>
      <c r="K3" s="3"/>
      <c r="M3" t="s">
        <v>5</v>
      </c>
      <c r="N3" s="4">
        <v>-12</v>
      </c>
      <c r="Q3" t="s">
        <v>6</v>
      </c>
    </row>
    <row r="4" spans="2:26" ht="12.75">
      <c r="B4" s="5" t="s">
        <v>7</v>
      </c>
      <c r="C4" t="s">
        <v>8</v>
      </c>
      <c r="D4" t="s">
        <v>9</v>
      </c>
      <c r="E4" t="s">
        <v>10</v>
      </c>
      <c r="F4" s="6"/>
      <c r="H4" s="5" t="s">
        <v>7</v>
      </c>
      <c r="I4" t="s">
        <v>8</v>
      </c>
      <c r="J4" t="s">
        <v>9</v>
      </c>
      <c r="K4" s="6" t="s">
        <v>10</v>
      </c>
      <c r="M4" t="s">
        <v>11</v>
      </c>
      <c r="N4" s="4">
        <v>22</v>
      </c>
      <c r="Q4">
        <v>1.92</v>
      </c>
      <c r="S4" t="s">
        <v>12</v>
      </c>
      <c r="U4" t="s">
        <v>13</v>
      </c>
      <c r="W4" t="s">
        <v>14</v>
      </c>
      <c r="X4" t="s">
        <v>15</v>
      </c>
      <c r="Z4" t="s">
        <v>13</v>
      </c>
    </row>
    <row r="5" spans="2:26" ht="14.25">
      <c r="B5" s="5" t="s">
        <v>16</v>
      </c>
      <c r="C5" s="7">
        <v>0.015</v>
      </c>
      <c r="D5" s="7">
        <v>0.88</v>
      </c>
      <c r="E5" s="7">
        <f aca="true" t="shared" si="0" ref="E5:E6">C5/D5</f>
        <v>0.017045454545454544</v>
      </c>
      <c r="F5" s="6"/>
      <c r="H5" s="5"/>
      <c r="K5" s="6"/>
      <c r="M5" t="s">
        <v>17</v>
      </c>
      <c r="N5" s="4">
        <v>17</v>
      </c>
      <c r="R5" t="s">
        <v>18</v>
      </c>
      <c r="S5" t="s">
        <v>19</v>
      </c>
      <c r="T5" t="s">
        <v>20</v>
      </c>
      <c r="U5" s="8">
        <v>14000</v>
      </c>
      <c r="W5">
        <v>4</v>
      </c>
      <c r="X5" t="s">
        <v>19</v>
      </c>
      <c r="Y5" t="s">
        <v>20</v>
      </c>
      <c r="Z5">
        <v>6000</v>
      </c>
    </row>
    <row r="6" spans="2:23" ht="14.25">
      <c r="B6" s="5" t="s">
        <v>21</v>
      </c>
      <c r="C6" s="7">
        <v>0.45</v>
      </c>
      <c r="D6" s="7">
        <v>0.56</v>
      </c>
      <c r="E6" s="7">
        <f t="shared" si="0"/>
        <v>0.8035714285714285</v>
      </c>
      <c r="F6" s="6"/>
      <c r="H6" s="9" t="s">
        <v>22</v>
      </c>
      <c r="I6">
        <v>0.3</v>
      </c>
      <c r="J6">
        <v>0.04</v>
      </c>
      <c r="K6" s="10">
        <f>I6/J6*$N$13</f>
        <v>7.5</v>
      </c>
      <c r="M6" t="s">
        <v>23</v>
      </c>
      <c r="N6" s="4">
        <v>14</v>
      </c>
      <c r="Q6" t="s">
        <v>24</v>
      </c>
      <c r="W6" t="s">
        <v>18</v>
      </c>
    </row>
    <row r="7" spans="2:26" ht="14.25">
      <c r="B7" s="9" t="s">
        <v>25</v>
      </c>
      <c r="C7" s="7">
        <f>N12</f>
        <v>0.1</v>
      </c>
      <c r="D7" s="7">
        <v>0.03</v>
      </c>
      <c r="E7" s="7">
        <f>C7/D7*N14</f>
        <v>0</v>
      </c>
      <c r="F7" s="6"/>
      <c r="H7" s="5" t="s">
        <v>26</v>
      </c>
      <c r="I7">
        <v>0.02</v>
      </c>
      <c r="J7">
        <v>1.36</v>
      </c>
      <c r="K7" s="10">
        <f aca="true" t="shared" si="1" ref="K7:K9">I7/J7*(1-$N$13)</f>
        <v>0</v>
      </c>
      <c r="M7" t="s">
        <v>27</v>
      </c>
      <c r="N7" s="4">
        <v>8</v>
      </c>
      <c r="Q7" t="s">
        <v>28</v>
      </c>
      <c r="R7">
        <v>16.3</v>
      </c>
      <c r="S7">
        <f>R7*$Q$4</f>
        <v>31.296</v>
      </c>
      <c r="T7" s="8">
        <f>S7*3000</f>
        <v>93888</v>
      </c>
      <c r="U7" s="8">
        <f>T7+$U$5</f>
        <v>107888</v>
      </c>
      <c r="W7">
        <f>R7/$W$5</f>
        <v>4.075</v>
      </c>
      <c r="X7">
        <f>W7*$Q$4</f>
        <v>7.824</v>
      </c>
      <c r="Y7" s="8">
        <f>X7*3000</f>
        <v>23472</v>
      </c>
      <c r="Z7" s="8">
        <f>Y7+$Z$5</f>
        <v>29472</v>
      </c>
    </row>
    <row r="8" spans="2:26" ht="14.25">
      <c r="B8" s="5" t="s">
        <v>29</v>
      </c>
      <c r="C8" s="7">
        <v>0.02</v>
      </c>
      <c r="D8" s="7">
        <v>0.88</v>
      </c>
      <c r="E8" s="7">
        <f>C8/D8</f>
        <v>0.022727272727272728</v>
      </c>
      <c r="F8" s="6"/>
      <c r="H8" s="5" t="s">
        <v>30</v>
      </c>
      <c r="I8">
        <v>0.15</v>
      </c>
      <c r="J8">
        <v>0.69</v>
      </c>
      <c r="K8" s="10">
        <f t="shared" si="1"/>
        <v>0</v>
      </c>
      <c r="M8" t="s">
        <v>31</v>
      </c>
      <c r="N8" s="4">
        <v>2</v>
      </c>
      <c r="T8" s="8"/>
      <c r="U8" s="8"/>
      <c r="Y8" s="8"/>
      <c r="Z8" s="8"/>
    </row>
    <row r="9" spans="2:26" ht="14.25">
      <c r="B9" s="5"/>
      <c r="D9" t="s">
        <v>32</v>
      </c>
      <c r="E9">
        <v>0.13</v>
      </c>
      <c r="F9" s="6"/>
      <c r="H9" s="5" t="s">
        <v>33</v>
      </c>
      <c r="I9">
        <v>0.1</v>
      </c>
      <c r="J9">
        <v>0.14</v>
      </c>
      <c r="K9" s="10">
        <f t="shared" si="1"/>
        <v>0</v>
      </c>
      <c r="M9" t="s">
        <v>34</v>
      </c>
      <c r="N9" s="4">
        <v>8</v>
      </c>
      <c r="Q9" t="s">
        <v>35</v>
      </c>
      <c r="R9">
        <v>10.9</v>
      </c>
      <c r="S9">
        <f aca="true" t="shared" si="2" ref="S9:S14">R9*$Q$4</f>
        <v>20.928</v>
      </c>
      <c r="T9" s="8">
        <f aca="true" t="shared" si="3" ref="T9:T14">S9*3000</f>
        <v>62784</v>
      </c>
      <c r="U9" s="8">
        <f aca="true" t="shared" si="4" ref="U9:U14">T9+$U$5</f>
        <v>76784</v>
      </c>
      <c r="W9">
        <f aca="true" t="shared" si="5" ref="W9:W14">R9/$W$5</f>
        <v>2.725</v>
      </c>
      <c r="X9">
        <f aca="true" t="shared" si="6" ref="X9:X14">W9*$Q$4</f>
        <v>5.232</v>
      </c>
      <c r="Y9" s="8">
        <f aca="true" t="shared" si="7" ref="Y9:Y14">X9*3000</f>
        <v>15696</v>
      </c>
      <c r="Z9" s="8">
        <f aca="true" t="shared" si="8" ref="Z9:Z14">Y9+$Z$5</f>
        <v>21696</v>
      </c>
    </row>
    <row r="10" spans="2:26" ht="14.25">
      <c r="B10" s="5"/>
      <c r="D10" t="s">
        <v>36</v>
      </c>
      <c r="E10">
        <v>0.04</v>
      </c>
      <c r="F10" s="6"/>
      <c r="H10" s="5" t="s">
        <v>26</v>
      </c>
      <c r="I10">
        <v>0.02</v>
      </c>
      <c r="J10">
        <v>1.36</v>
      </c>
      <c r="K10" s="10">
        <f aca="true" t="shared" si="9" ref="K10:K12">I10/J10</f>
        <v>0.014705882352941176</v>
      </c>
      <c r="Q10" t="s">
        <v>37</v>
      </c>
      <c r="R10">
        <v>8.03</v>
      </c>
      <c r="S10">
        <f t="shared" si="2"/>
        <v>15.417599999999998</v>
      </c>
      <c r="T10" s="8">
        <f t="shared" si="3"/>
        <v>46252.799999999996</v>
      </c>
      <c r="U10" s="8">
        <f t="shared" si="4"/>
        <v>60252.799999999996</v>
      </c>
      <c r="W10">
        <f t="shared" si="5"/>
        <v>2.0075</v>
      </c>
      <c r="X10">
        <f t="shared" si="6"/>
        <v>3.8543999999999996</v>
      </c>
      <c r="Y10" s="8">
        <f t="shared" si="7"/>
        <v>11563.199999999999</v>
      </c>
      <c r="Z10" s="8">
        <f t="shared" si="8"/>
        <v>17563.199999999997</v>
      </c>
    </row>
    <row r="11" spans="2:26" ht="14.25">
      <c r="B11" s="5"/>
      <c r="D11" t="s">
        <v>38</v>
      </c>
      <c r="E11" s="11">
        <f>SUM(E5:E10)</f>
        <v>1.0133441558441558</v>
      </c>
      <c r="F11" s="6"/>
      <c r="H11" s="5" t="s">
        <v>39</v>
      </c>
      <c r="I11">
        <v>0.2</v>
      </c>
      <c r="J11">
        <v>0.83</v>
      </c>
      <c r="K11" s="10">
        <f t="shared" si="9"/>
        <v>0.24096385542168677</v>
      </c>
      <c r="M11" t="s">
        <v>40</v>
      </c>
      <c r="N11" s="4">
        <v>0.12</v>
      </c>
      <c r="Q11" t="s">
        <v>41</v>
      </c>
      <c r="R11">
        <v>7.86</v>
      </c>
      <c r="S11">
        <f t="shared" si="2"/>
        <v>15.0912</v>
      </c>
      <c r="T11" s="8">
        <f t="shared" si="3"/>
        <v>45273.6</v>
      </c>
      <c r="U11" s="8">
        <f t="shared" si="4"/>
        <v>59273.6</v>
      </c>
      <c r="W11">
        <f t="shared" si="5"/>
        <v>1.965</v>
      </c>
      <c r="X11">
        <f t="shared" si="6"/>
        <v>3.7728</v>
      </c>
      <c r="Y11" s="8">
        <f t="shared" si="7"/>
        <v>11318.4</v>
      </c>
      <c r="Z11" s="8">
        <f t="shared" si="8"/>
        <v>17318.4</v>
      </c>
    </row>
    <row r="12" spans="2:26" ht="14.25">
      <c r="B12" s="5"/>
      <c r="D12" t="s">
        <v>42</v>
      </c>
      <c r="E12">
        <v>3.3</v>
      </c>
      <c r="F12" s="6"/>
      <c r="H12" s="5" t="s">
        <v>43</v>
      </c>
      <c r="I12">
        <v>0.015</v>
      </c>
      <c r="J12">
        <v>0.88</v>
      </c>
      <c r="K12" s="10">
        <f t="shared" si="9"/>
        <v>0.017045454545454544</v>
      </c>
      <c r="M12" t="s">
        <v>44</v>
      </c>
      <c r="N12">
        <v>0.1</v>
      </c>
      <c r="Q12" t="s">
        <v>45</v>
      </c>
      <c r="R12">
        <v>8.1</v>
      </c>
      <c r="S12">
        <f t="shared" si="2"/>
        <v>15.552</v>
      </c>
      <c r="T12" s="8">
        <f t="shared" si="3"/>
        <v>46656</v>
      </c>
      <c r="U12" s="8">
        <f t="shared" si="4"/>
        <v>60656</v>
      </c>
      <c r="W12">
        <f t="shared" si="5"/>
        <v>2.025</v>
      </c>
      <c r="X12">
        <f t="shared" si="6"/>
        <v>3.888</v>
      </c>
      <c r="Y12" s="8">
        <f t="shared" si="7"/>
        <v>11664</v>
      </c>
      <c r="Z12" s="8">
        <f t="shared" si="8"/>
        <v>17664</v>
      </c>
    </row>
    <row r="13" spans="2:26" ht="14.25">
      <c r="B13" s="5"/>
      <c r="D13" t="s">
        <v>46</v>
      </c>
      <c r="E13">
        <v>11</v>
      </c>
      <c r="F13" s="6" t="s">
        <v>47</v>
      </c>
      <c r="H13" s="5"/>
      <c r="J13" t="s">
        <v>32</v>
      </c>
      <c r="K13" s="10">
        <v>0.1</v>
      </c>
      <c r="M13" s="12" t="s">
        <v>48</v>
      </c>
      <c r="N13">
        <v>1</v>
      </c>
      <c r="Q13" t="s">
        <v>49</v>
      </c>
      <c r="R13">
        <v>5.9</v>
      </c>
      <c r="S13">
        <f t="shared" si="2"/>
        <v>11.328</v>
      </c>
      <c r="T13" s="8">
        <f t="shared" si="3"/>
        <v>33984</v>
      </c>
      <c r="U13" s="8">
        <f t="shared" si="4"/>
        <v>47984</v>
      </c>
      <c r="W13">
        <f t="shared" si="5"/>
        <v>1.475</v>
      </c>
      <c r="X13">
        <f t="shared" si="6"/>
        <v>2.832</v>
      </c>
      <c r="Y13" s="8">
        <f t="shared" si="7"/>
        <v>8496</v>
      </c>
      <c r="Z13" s="8">
        <f t="shared" si="8"/>
        <v>14496</v>
      </c>
    </row>
    <row r="14" spans="2:26" ht="14.25">
      <c r="B14" s="5"/>
      <c r="D14" t="s">
        <v>50</v>
      </c>
      <c r="E14" s="13">
        <f>E11/E12/E13</f>
        <v>0.027915816965403743</v>
      </c>
      <c r="F14" s="6">
        <f>E12*E13</f>
        <v>36.3</v>
      </c>
      <c r="H14" s="5"/>
      <c r="J14" t="s">
        <v>36</v>
      </c>
      <c r="K14" s="10">
        <v>0.04</v>
      </c>
      <c r="M14" s="14" t="s">
        <v>51</v>
      </c>
      <c r="N14">
        <v>0</v>
      </c>
      <c r="Q14" t="s">
        <v>52</v>
      </c>
      <c r="R14">
        <v>5.45</v>
      </c>
      <c r="S14">
        <f t="shared" si="2"/>
        <v>10.464</v>
      </c>
      <c r="T14" s="8">
        <f t="shared" si="3"/>
        <v>31392</v>
      </c>
      <c r="U14" s="8">
        <f t="shared" si="4"/>
        <v>45392</v>
      </c>
      <c r="W14">
        <f t="shared" si="5"/>
        <v>1.3625</v>
      </c>
      <c r="X14">
        <f t="shared" si="6"/>
        <v>2.616</v>
      </c>
      <c r="Y14" s="8">
        <f t="shared" si="7"/>
        <v>7848</v>
      </c>
      <c r="Z14" s="8">
        <f t="shared" si="8"/>
        <v>13848</v>
      </c>
    </row>
    <row r="15" spans="2:14" ht="14.25">
      <c r="B15" s="15"/>
      <c r="C15" s="16"/>
      <c r="D15" s="16" t="s">
        <v>53</v>
      </c>
      <c r="E15" s="17">
        <f>(N4-N3)/E14</f>
        <v>1217.947518503092</v>
      </c>
      <c r="F15" s="18"/>
      <c r="H15" s="5"/>
      <c r="J15" t="s">
        <v>38</v>
      </c>
      <c r="K15" s="19">
        <f>SUM(K6:K14)</f>
        <v>7.912715192320082</v>
      </c>
      <c r="M15" s="14" t="s">
        <v>54</v>
      </c>
      <c r="N15">
        <v>0</v>
      </c>
    </row>
    <row r="16" spans="8:23" ht="14.25">
      <c r="H16" s="5"/>
      <c r="J16" t="s">
        <v>46</v>
      </c>
      <c r="K16" s="10">
        <v>11</v>
      </c>
      <c r="M16" s="12" t="s">
        <v>55</v>
      </c>
      <c r="N16">
        <v>0</v>
      </c>
      <c r="T16" t="s">
        <v>56</v>
      </c>
      <c r="W16" t="s">
        <v>57</v>
      </c>
    </row>
    <row r="17" spans="8:23" ht="14.25">
      <c r="H17" s="5"/>
      <c r="J17" t="s">
        <v>58</v>
      </c>
      <c r="K17" s="10">
        <v>12.6</v>
      </c>
      <c r="M17" s="12" t="s">
        <v>59</v>
      </c>
      <c r="N17">
        <v>1</v>
      </c>
      <c r="W17" t="s">
        <v>60</v>
      </c>
    </row>
    <row r="18" spans="2:21" ht="14.25">
      <c r="B18" s="1" t="s">
        <v>61</v>
      </c>
      <c r="C18" s="2"/>
      <c r="D18" s="2"/>
      <c r="E18" s="2"/>
      <c r="F18" s="3"/>
      <c r="H18" s="5"/>
      <c r="J18" t="s">
        <v>62</v>
      </c>
      <c r="K18" s="6">
        <v>16</v>
      </c>
      <c r="M18" s="12" t="s">
        <v>63</v>
      </c>
      <c r="N18">
        <v>1</v>
      </c>
      <c r="T18" t="s">
        <v>64</v>
      </c>
      <c r="U18">
        <f>F14</f>
        <v>36.3</v>
      </c>
    </row>
    <row r="19" spans="2:23" ht="14.25">
      <c r="B19" s="5" t="s">
        <v>7</v>
      </c>
      <c r="C19" t="s">
        <v>8</v>
      </c>
      <c r="D19" t="s">
        <v>9</v>
      </c>
      <c r="E19" t="s">
        <v>10</v>
      </c>
      <c r="F19" s="6"/>
      <c r="H19" s="5"/>
      <c r="J19" t="s">
        <v>65</v>
      </c>
      <c r="K19" s="19">
        <f>K15/((K16*K17)-K18)</f>
        <v>0.06454090695203982</v>
      </c>
      <c r="M19" s="12" t="s">
        <v>66</v>
      </c>
      <c r="N19">
        <v>0</v>
      </c>
      <c r="T19" t="s">
        <v>67</v>
      </c>
      <c r="U19">
        <f>100*N12*10</f>
        <v>100</v>
      </c>
      <c r="W19" t="s">
        <v>68</v>
      </c>
    </row>
    <row r="20" spans="2:23" ht="14.25">
      <c r="B20" s="5" t="s">
        <v>16</v>
      </c>
      <c r="C20" s="7">
        <v>0.015</v>
      </c>
      <c r="D20" s="7">
        <v>0.88</v>
      </c>
      <c r="E20" s="7">
        <f aca="true" t="shared" si="10" ref="E20:E21">C20/D20</f>
        <v>0.017045454545454544</v>
      </c>
      <c r="F20" s="6"/>
      <c r="H20" s="5"/>
      <c r="J20" t="s">
        <v>69</v>
      </c>
      <c r="K20" s="20">
        <f>($N$4-$N$3)/K19</f>
        <v>526.7976792651103</v>
      </c>
      <c r="M20" t="s">
        <v>70</v>
      </c>
      <c r="N20">
        <v>1</v>
      </c>
      <c r="T20" t="s">
        <v>71</v>
      </c>
      <c r="U20">
        <f>U18*U19</f>
        <v>3629.9999999999995</v>
      </c>
      <c r="W20" t="s">
        <v>72</v>
      </c>
    </row>
    <row r="21" spans="2:23" ht="14.25">
      <c r="B21" s="5" t="s">
        <v>21</v>
      </c>
      <c r="C21" s="7">
        <v>0.45</v>
      </c>
      <c r="D21" s="7">
        <v>0.56</v>
      </c>
      <c r="E21" s="7">
        <f t="shared" si="10"/>
        <v>0.8035714285714285</v>
      </c>
      <c r="F21" s="6"/>
      <c r="H21" s="5"/>
      <c r="J21" t="s">
        <v>73</v>
      </c>
      <c r="K21" s="19">
        <f>K15/K18</f>
        <v>0.4945446995200051</v>
      </c>
      <c r="M21" t="s">
        <v>74</v>
      </c>
      <c r="N21" s="21">
        <f>E15+E30+E45+D51+K36+K20+K22+K44+K52+P35+P50</f>
        <v>6705.1324475284155</v>
      </c>
      <c r="W21" t="s">
        <v>75</v>
      </c>
    </row>
    <row r="22" spans="2:23" ht="12.75">
      <c r="B22" s="9" t="s">
        <v>25</v>
      </c>
      <c r="C22" s="7">
        <f>N12</f>
        <v>0.1</v>
      </c>
      <c r="D22" s="7">
        <v>0.03</v>
      </c>
      <c r="E22" s="7">
        <f>C22/D22*N15</f>
        <v>0</v>
      </c>
      <c r="F22" s="6"/>
      <c r="H22" s="5"/>
      <c r="J22" t="s">
        <v>76</v>
      </c>
      <c r="K22" s="20">
        <f>($N$6-$N$3)/K21</f>
        <v>52.57360967620331</v>
      </c>
      <c r="T22" t="s">
        <v>77</v>
      </c>
      <c r="U22">
        <f>F44</f>
        <v>57.959999999999994</v>
      </c>
      <c r="W22" t="s">
        <v>78</v>
      </c>
    </row>
    <row r="23" spans="2:21" ht="12.75">
      <c r="B23" s="5" t="s">
        <v>29</v>
      </c>
      <c r="C23" s="7">
        <v>0.02</v>
      </c>
      <c r="D23" s="7">
        <v>0.88</v>
      </c>
      <c r="E23" s="7">
        <f>C23/D23</f>
        <v>0.022727272727272728</v>
      </c>
      <c r="F23" s="6"/>
      <c r="H23" s="15"/>
      <c r="I23" s="16"/>
      <c r="J23" s="16" t="s">
        <v>79</v>
      </c>
      <c r="K23" s="22">
        <f>K20+K22</f>
        <v>579.3712889413137</v>
      </c>
      <c r="M23" s="23" t="s">
        <v>80</v>
      </c>
      <c r="N23" s="24"/>
      <c r="O23" s="24"/>
      <c r="P23" s="24"/>
      <c r="Q23" s="25"/>
      <c r="T23" t="s">
        <v>67</v>
      </c>
      <c r="U23">
        <f>100*N11*10</f>
        <v>120</v>
      </c>
    </row>
    <row r="24" spans="2:21" ht="12.75">
      <c r="B24" s="5"/>
      <c r="D24" t="s">
        <v>32</v>
      </c>
      <c r="E24">
        <v>0.13</v>
      </c>
      <c r="F24" s="6"/>
      <c r="M24" s="26" t="s">
        <v>7</v>
      </c>
      <c r="N24" t="s">
        <v>8</v>
      </c>
      <c r="O24" t="s">
        <v>9</v>
      </c>
      <c r="P24" t="s">
        <v>10</v>
      </c>
      <c r="Q24" s="27"/>
      <c r="T24" t="s">
        <v>71</v>
      </c>
      <c r="U24">
        <f>U22*U23</f>
        <v>6955.199999999999</v>
      </c>
    </row>
    <row r="25" spans="2:17" ht="12.75">
      <c r="B25" s="5"/>
      <c r="D25" t="s">
        <v>36</v>
      </c>
      <c r="E25">
        <v>0.04</v>
      </c>
      <c r="F25" s="6"/>
      <c r="H25" s="1" t="s">
        <v>81</v>
      </c>
      <c r="I25" s="2"/>
      <c r="J25" s="2"/>
      <c r="K25" s="3"/>
      <c r="M25" s="26" t="s">
        <v>43</v>
      </c>
      <c r="N25" s="7">
        <v>0.015</v>
      </c>
      <c r="O25" s="7">
        <v>0.88</v>
      </c>
      <c r="P25" s="7">
        <f aca="true" t="shared" si="11" ref="P25:P26">N25/O25</f>
        <v>0.017045454545454544</v>
      </c>
      <c r="Q25" s="27"/>
    </row>
    <row r="26" spans="2:20" ht="12.75">
      <c r="B26" s="5"/>
      <c r="D26" t="s">
        <v>38</v>
      </c>
      <c r="E26" s="11">
        <f>SUM(E20:E25)</f>
        <v>1.0133441558441558</v>
      </c>
      <c r="F26" s="6"/>
      <c r="H26" s="5" t="s">
        <v>7</v>
      </c>
      <c r="I26" t="s">
        <v>8</v>
      </c>
      <c r="J26" t="s">
        <v>9</v>
      </c>
      <c r="K26" s="6" t="s">
        <v>10</v>
      </c>
      <c r="M26" s="26" t="s">
        <v>21</v>
      </c>
      <c r="N26" s="7">
        <v>0.3</v>
      </c>
      <c r="O26" s="7">
        <v>0.56</v>
      </c>
      <c r="P26" s="7">
        <f t="shared" si="11"/>
        <v>0.5357142857142857</v>
      </c>
      <c r="Q26" s="27"/>
      <c r="T26" t="s">
        <v>82</v>
      </c>
    </row>
    <row r="27" spans="2:17" ht="12.75">
      <c r="B27" s="5"/>
      <c r="D27" t="s">
        <v>42</v>
      </c>
      <c r="E27">
        <v>3.3</v>
      </c>
      <c r="F27" s="6"/>
      <c r="H27" s="5" t="s">
        <v>83</v>
      </c>
      <c r="I27">
        <v>0.2</v>
      </c>
      <c r="J27">
        <v>1.43</v>
      </c>
      <c r="K27" s="10">
        <f>I27/J27</f>
        <v>0.13986013986013987</v>
      </c>
      <c r="M27" s="26" t="s">
        <v>22</v>
      </c>
      <c r="N27" s="7">
        <v>0.1</v>
      </c>
      <c r="O27" s="7">
        <v>0.04</v>
      </c>
      <c r="P27" s="7">
        <f>N27/O27*$N$19</f>
        <v>0</v>
      </c>
      <c r="Q27" s="27"/>
    </row>
    <row r="28" spans="2:21" ht="12.75">
      <c r="B28" s="5"/>
      <c r="D28" t="s">
        <v>46</v>
      </c>
      <c r="E28">
        <v>11</v>
      </c>
      <c r="F28" s="6" t="s">
        <v>47</v>
      </c>
      <c r="H28" s="5"/>
      <c r="J28" t="s">
        <v>84</v>
      </c>
      <c r="K28" s="6">
        <v>0.15</v>
      </c>
      <c r="M28" s="26" t="s">
        <v>29</v>
      </c>
      <c r="N28" s="7">
        <v>0.02</v>
      </c>
      <c r="O28" s="7">
        <v>0.88</v>
      </c>
      <c r="P28" s="7">
        <f>N28/O28</f>
        <v>0.022727272727272728</v>
      </c>
      <c r="Q28" s="27"/>
      <c r="T28" t="s">
        <v>85</v>
      </c>
      <c r="U28">
        <f>F14+F44</f>
        <v>94.25999999999999</v>
      </c>
    </row>
    <row r="29" spans="2:21" ht="12.75">
      <c r="B29" s="5"/>
      <c r="D29" t="s">
        <v>50</v>
      </c>
      <c r="E29" s="13">
        <f>E26/E27/E28</f>
        <v>0.027915816965403743</v>
      </c>
      <c r="F29" s="6">
        <f>E27*E28</f>
        <v>36.3</v>
      </c>
      <c r="H29" s="9" t="s">
        <v>22</v>
      </c>
      <c r="I29">
        <v>0.08</v>
      </c>
      <c r="J29">
        <v>0.04</v>
      </c>
      <c r="K29" s="6">
        <f>I29/J29*$N$18</f>
        <v>2</v>
      </c>
      <c r="M29" s="26"/>
      <c r="O29" t="s">
        <v>32</v>
      </c>
      <c r="P29">
        <v>0.1</v>
      </c>
      <c r="Q29" s="27"/>
      <c r="T29" t="s">
        <v>86</v>
      </c>
      <c r="U29">
        <v>3</v>
      </c>
    </row>
    <row r="30" spans="2:21" ht="12.75">
      <c r="B30" s="15"/>
      <c r="C30" s="16"/>
      <c r="D30" s="16" t="s">
        <v>53</v>
      </c>
      <c r="E30" s="17">
        <f>(N5-N3)/E29</f>
        <v>1038.8375893114608</v>
      </c>
      <c r="F30" s="18"/>
      <c r="H30" s="5"/>
      <c r="J30" t="s">
        <v>38</v>
      </c>
      <c r="K30" s="10">
        <f>SUM(K27:K29)</f>
        <v>2.28986013986014</v>
      </c>
      <c r="M30" s="26"/>
      <c r="O30" t="s">
        <v>36</v>
      </c>
      <c r="P30">
        <v>0.1</v>
      </c>
      <c r="Q30" s="27"/>
      <c r="T30" t="s">
        <v>87</v>
      </c>
      <c r="U30">
        <v>1900</v>
      </c>
    </row>
    <row r="31" spans="8:21" ht="12.75">
      <c r="H31" s="5"/>
      <c r="J31" t="s">
        <v>46</v>
      </c>
      <c r="K31" s="10">
        <v>12.7</v>
      </c>
      <c r="M31" s="26"/>
      <c r="O31" t="s">
        <v>38</v>
      </c>
      <c r="P31" s="11">
        <f>SUM(P25:P30)</f>
        <v>0.7754870129870131</v>
      </c>
      <c r="Q31" s="27"/>
      <c r="T31" t="s">
        <v>88</v>
      </c>
      <c r="U31">
        <f>U28*U29*U30/25</f>
        <v>21491.28</v>
      </c>
    </row>
    <row r="32" spans="2:17" ht="12.75">
      <c r="B32" s="1" t="s">
        <v>89</v>
      </c>
      <c r="C32" s="2"/>
      <c r="D32" s="2"/>
      <c r="E32" s="2"/>
      <c r="F32" s="3"/>
      <c r="H32" s="5"/>
      <c r="J32" t="s">
        <v>58</v>
      </c>
      <c r="K32" s="10">
        <v>11.1</v>
      </c>
      <c r="M32" s="26"/>
      <c r="O32" t="s">
        <v>90</v>
      </c>
      <c r="P32">
        <v>2.4</v>
      </c>
      <c r="Q32" s="27"/>
    </row>
    <row r="33" spans="2:21" ht="12.75">
      <c r="B33" s="5" t="s">
        <v>7</v>
      </c>
      <c r="C33" t="s">
        <v>8</v>
      </c>
      <c r="D33" t="s">
        <v>9</v>
      </c>
      <c r="E33" t="s">
        <v>10</v>
      </c>
      <c r="F33" s="6"/>
      <c r="H33" s="5"/>
      <c r="J33" t="s">
        <v>91</v>
      </c>
      <c r="K33" s="6">
        <v>25</v>
      </c>
      <c r="M33" s="26"/>
      <c r="O33" t="s">
        <v>46</v>
      </c>
      <c r="P33">
        <v>5.9</v>
      </c>
      <c r="Q33" s="27"/>
      <c r="T33" t="s">
        <v>92</v>
      </c>
      <c r="U33">
        <f>U28*30</f>
        <v>2827.7999999999997</v>
      </c>
    </row>
    <row r="34" spans="2:17" ht="12.75">
      <c r="B34" s="5" t="s">
        <v>16</v>
      </c>
      <c r="C34" s="7">
        <v>0.015</v>
      </c>
      <c r="D34" s="7">
        <v>0.88</v>
      </c>
      <c r="E34" s="7">
        <f aca="true" t="shared" si="12" ref="E34:E35">C34/D34</f>
        <v>0.017045454545454544</v>
      </c>
      <c r="F34" s="6"/>
      <c r="H34" s="5"/>
      <c r="J34" t="s">
        <v>93</v>
      </c>
      <c r="K34" s="6">
        <f>K38+K46</f>
        <v>31.11</v>
      </c>
      <c r="M34" s="26"/>
      <c r="O34" t="s">
        <v>50</v>
      </c>
      <c r="P34" s="13">
        <f>P31/P32/P33</f>
        <v>0.05476603199060827</v>
      </c>
      <c r="Q34" s="27"/>
    </row>
    <row r="35" spans="2:21" ht="12.75">
      <c r="B35" s="5" t="s">
        <v>21</v>
      </c>
      <c r="C35" s="7">
        <v>0.3</v>
      </c>
      <c r="D35" s="7">
        <v>0.56</v>
      </c>
      <c r="E35" s="7">
        <f t="shared" si="12"/>
        <v>0.5357142857142857</v>
      </c>
      <c r="F35" s="6"/>
      <c r="H35" s="5"/>
      <c r="J35" t="s">
        <v>94</v>
      </c>
      <c r="K35" s="19">
        <f>K30/((K31*K32)-K34-K33)</f>
        <v>0.026983975251710347</v>
      </c>
      <c r="M35" s="28"/>
      <c r="N35" s="29"/>
      <c r="O35" s="29" t="s">
        <v>53</v>
      </c>
      <c r="P35" s="30">
        <f>($N$6-$N$8)/P34</f>
        <v>219.11392087083942</v>
      </c>
      <c r="Q35" s="31" t="s">
        <v>95</v>
      </c>
      <c r="T35" t="s">
        <v>96</v>
      </c>
      <c r="U35">
        <f>400/25*4*U28</f>
        <v>6032.639999999999</v>
      </c>
    </row>
    <row r="36" spans="2:11" ht="12.75">
      <c r="B36" s="9" t="s">
        <v>25</v>
      </c>
      <c r="C36" s="7">
        <f>N11</f>
        <v>0.12</v>
      </c>
      <c r="D36" s="7">
        <v>0.03</v>
      </c>
      <c r="E36" s="7">
        <f>C36/D36*N16</f>
        <v>0</v>
      </c>
      <c r="F36" s="6"/>
      <c r="H36" s="15"/>
      <c r="I36" s="16"/>
      <c r="J36" s="16" t="s">
        <v>53</v>
      </c>
      <c r="K36" s="32">
        <f>($N$4-$N$6)/K35</f>
        <v>296.47225530615356</v>
      </c>
    </row>
    <row r="37" spans="2:21" ht="12.75">
      <c r="B37" s="5" t="s">
        <v>29</v>
      </c>
      <c r="C37" s="7">
        <v>0.02</v>
      </c>
      <c r="D37" s="7">
        <v>0.88</v>
      </c>
      <c r="E37" s="7">
        <f>C37/D37</f>
        <v>0.022727272727272728</v>
      </c>
      <c r="F37" s="6"/>
      <c r="T37" t="s">
        <v>97</v>
      </c>
      <c r="U37">
        <f>150/7*U28</f>
        <v>2019.8571428571424</v>
      </c>
    </row>
    <row r="38" spans="2:21" ht="12.75">
      <c r="B38" s="5"/>
      <c r="D38" t="s">
        <v>32</v>
      </c>
      <c r="E38">
        <v>0.13</v>
      </c>
      <c r="F38" s="6"/>
      <c r="H38" s="1" t="s">
        <v>98</v>
      </c>
      <c r="I38" s="2"/>
      <c r="J38" s="2" t="s">
        <v>99</v>
      </c>
      <c r="K38" s="3">
        <v>14</v>
      </c>
      <c r="M38" s="23" t="s">
        <v>100</v>
      </c>
      <c r="N38" s="24"/>
      <c r="O38" s="24"/>
      <c r="P38" s="25"/>
      <c r="T38" t="s">
        <v>101</v>
      </c>
      <c r="U38">
        <f>U20+U24+U31+U35+U37</f>
        <v>40128.97714285714</v>
      </c>
    </row>
    <row r="39" spans="2:16" ht="12.75">
      <c r="B39" s="5"/>
      <c r="D39" t="s">
        <v>36</v>
      </c>
      <c r="E39">
        <v>0.04</v>
      </c>
      <c r="F39" s="6"/>
      <c r="H39" s="5" t="s">
        <v>7</v>
      </c>
      <c r="I39" t="s">
        <v>8</v>
      </c>
      <c r="J39" t="s">
        <v>9</v>
      </c>
      <c r="K39" s="6" t="s">
        <v>10</v>
      </c>
      <c r="M39" s="26" t="s">
        <v>7</v>
      </c>
      <c r="N39" t="s">
        <v>8</v>
      </c>
      <c r="O39" t="s">
        <v>9</v>
      </c>
      <c r="P39" s="27" t="s">
        <v>10</v>
      </c>
    </row>
    <row r="40" spans="2:16" ht="12.75">
      <c r="B40" s="5"/>
      <c r="D40" t="s">
        <v>38</v>
      </c>
      <c r="E40" s="11">
        <f>SUM(E34:E39)</f>
        <v>0.745487012987013</v>
      </c>
      <c r="F40" s="6"/>
      <c r="H40" s="5" t="s">
        <v>83</v>
      </c>
      <c r="I40">
        <v>0.2</v>
      </c>
      <c r="J40">
        <v>1.43</v>
      </c>
      <c r="K40" s="10">
        <f>I40/J40</f>
        <v>0.13986013986013987</v>
      </c>
      <c r="M40" s="26" t="s">
        <v>43</v>
      </c>
      <c r="N40" s="7">
        <v>0.015</v>
      </c>
      <c r="O40" s="7">
        <v>0.88</v>
      </c>
      <c r="P40" s="33">
        <f aca="true" t="shared" si="13" ref="P40:P41">N40/O40</f>
        <v>0.017045454545454544</v>
      </c>
    </row>
    <row r="41" spans="2:16" ht="12.75">
      <c r="B41" s="5"/>
      <c r="D41" t="s">
        <v>42</v>
      </c>
      <c r="E41">
        <v>3.3</v>
      </c>
      <c r="F41" s="6" t="s">
        <v>102</v>
      </c>
      <c r="H41" s="9" t="s">
        <v>22</v>
      </c>
      <c r="I41">
        <v>0.08</v>
      </c>
      <c r="J41">
        <v>0.04</v>
      </c>
      <c r="K41" s="10">
        <f>I41/J41*$N$17</f>
        <v>2</v>
      </c>
      <c r="M41" s="26" t="s">
        <v>21</v>
      </c>
      <c r="N41" s="7">
        <v>0.3</v>
      </c>
      <c r="O41" s="7">
        <v>0.56</v>
      </c>
      <c r="P41" s="33">
        <f t="shared" si="13"/>
        <v>0.5357142857142857</v>
      </c>
    </row>
    <row r="42" spans="2:16" ht="12.75">
      <c r="B42" s="5"/>
      <c r="D42" t="s">
        <v>46</v>
      </c>
      <c r="E42">
        <v>25.2</v>
      </c>
      <c r="F42" s="6">
        <f>E41*E42</f>
        <v>83.16</v>
      </c>
      <c r="H42" s="5"/>
      <c r="I42" t="s">
        <v>103</v>
      </c>
      <c r="J42" t="s">
        <v>84</v>
      </c>
      <c r="K42" s="6">
        <v>0.15</v>
      </c>
      <c r="M42" s="26" t="s">
        <v>22</v>
      </c>
      <c r="N42" s="7">
        <v>0.1</v>
      </c>
      <c r="O42" s="7">
        <v>0.04</v>
      </c>
      <c r="P42" s="33">
        <f>N42/O42*$N$19</f>
        <v>0</v>
      </c>
    </row>
    <row r="43" spans="2:16" ht="12.75">
      <c r="B43" s="5"/>
      <c r="D43" t="s">
        <v>104</v>
      </c>
      <c r="E43">
        <v>25.2</v>
      </c>
      <c r="F43" s="6" t="s">
        <v>47</v>
      </c>
      <c r="H43" s="5"/>
      <c r="J43" t="s">
        <v>94</v>
      </c>
      <c r="K43" s="6">
        <f>SUM(K40:K42)/K38</f>
        <v>0.16356143856143857</v>
      </c>
      <c r="M43" s="26" t="s">
        <v>29</v>
      </c>
      <c r="N43" s="7">
        <v>0.02</v>
      </c>
      <c r="O43" s="7">
        <v>0.88</v>
      </c>
      <c r="P43" s="33">
        <f>N43/O43</f>
        <v>0.022727272727272728</v>
      </c>
    </row>
    <row r="44" spans="2:16" ht="12.75">
      <c r="B44" s="5"/>
      <c r="D44" t="s">
        <v>50</v>
      </c>
      <c r="E44" s="11">
        <f>E40/((E41*E42)-E43)</f>
        <v>0.012862094772032663</v>
      </c>
      <c r="F44" s="6">
        <f>F42-E43</f>
        <v>57.959999999999994</v>
      </c>
      <c r="H44" s="15"/>
      <c r="I44" s="16"/>
      <c r="J44" s="16" t="s">
        <v>105</v>
      </c>
      <c r="K44" s="32">
        <f>($N$4-$N$7)/K43</f>
        <v>85.59474728966254</v>
      </c>
      <c r="M44" s="26"/>
      <c r="O44" t="s">
        <v>32</v>
      </c>
      <c r="P44" s="27">
        <v>0.1</v>
      </c>
    </row>
    <row r="45" spans="2:16" ht="12.75">
      <c r="B45" s="15"/>
      <c r="C45" s="16"/>
      <c r="D45" s="16" t="s">
        <v>53</v>
      </c>
      <c r="E45" s="17">
        <f>((N4+N5)/2-N3)/E44</f>
        <v>2449.0567483994596</v>
      </c>
      <c r="F45" s="18"/>
      <c r="M45" s="26"/>
      <c r="O45" t="s">
        <v>36</v>
      </c>
      <c r="P45" s="27">
        <v>0.1</v>
      </c>
    </row>
    <row r="46" spans="8:16" ht="12.75">
      <c r="H46" s="1" t="s">
        <v>106</v>
      </c>
      <c r="I46" s="2"/>
      <c r="J46" s="2" t="s">
        <v>107</v>
      </c>
      <c r="K46" s="3">
        <v>17.11</v>
      </c>
      <c r="M46" s="26"/>
      <c r="O46" t="s">
        <v>38</v>
      </c>
      <c r="P46" s="34">
        <f>SUM(P40:P45)</f>
        <v>0.7754870129870131</v>
      </c>
    </row>
    <row r="47" spans="2:16" ht="12.75">
      <c r="B47" s="1" t="s">
        <v>108</v>
      </c>
      <c r="C47" s="2" t="s">
        <v>109</v>
      </c>
      <c r="D47" s="3">
        <v>1.4</v>
      </c>
      <c r="H47" s="5" t="s">
        <v>7</v>
      </c>
      <c r="I47" t="s">
        <v>8</v>
      </c>
      <c r="J47" t="s">
        <v>9</v>
      </c>
      <c r="K47" s="6" t="s">
        <v>10</v>
      </c>
      <c r="M47" s="26"/>
      <c r="O47" t="s">
        <v>90</v>
      </c>
      <c r="P47" s="27">
        <v>2.4</v>
      </c>
    </row>
    <row r="48" spans="2:16" ht="12.75">
      <c r="B48" s="5" t="s">
        <v>110</v>
      </c>
      <c r="C48" t="s">
        <v>109</v>
      </c>
      <c r="D48" s="6">
        <v>0.4</v>
      </c>
      <c r="H48" s="5" t="s">
        <v>83</v>
      </c>
      <c r="I48">
        <v>0.2</v>
      </c>
      <c r="J48">
        <v>1.43</v>
      </c>
      <c r="K48" s="10">
        <f>I48/J48</f>
        <v>0.13986013986013987</v>
      </c>
      <c r="M48" s="26"/>
      <c r="O48" t="s">
        <v>46</v>
      </c>
      <c r="P48" s="27">
        <v>5.5</v>
      </c>
    </row>
    <row r="49" spans="2:16" ht="12.75">
      <c r="B49" s="5"/>
      <c r="C49" t="s">
        <v>104</v>
      </c>
      <c r="D49" s="6">
        <f>E43</f>
        <v>25.2</v>
      </c>
      <c r="H49" s="9" t="s">
        <v>22</v>
      </c>
      <c r="I49">
        <v>0.08</v>
      </c>
      <c r="J49">
        <v>0.04</v>
      </c>
      <c r="K49" s="10">
        <f>I49/J49*$N$17</f>
        <v>2</v>
      </c>
      <c r="M49" s="26"/>
      <c r="O49" t="s">
        <v>50</v>
      </c>
      <c r="P49" s="35">
        <f>P46/P47/P48</f>
        <v>0.05874901613537978</v>
      </c>
    </row>
    <row r="50" spans="2:16" ht="12.75">
      <c r="B50" s="5"/>
      <c r="C50" t="s">
        <v>111</v>
      </c>
      <c r="D50" s="36">
        <f>IF(N20=1,D47/E43,D48/E43)</f>
        <v>0.05555555555555555</v>
      </c>
      <c r="H50" s="5"/>
      <c r="J50" t="s">
        <v>84</v>
      </c>
      <c r="K50" s="6">
        <v>0.15</v>
      </c>
      <c r="M50" s="28"/>
      <c r="N50" s="29"/>
      <c r="O50" s="29" t="s">
        <v>53</v>
      </c>
      <c r="P50" s="37">
        <f>($N$6-$N$7)/P49</f>
        <v>102.12936989742515</v>
      </c>
    </row>
    <row r="51" spans="2:11" ht="12.75">
      <c r="B51" s="15"/>
      <c r="C51" s="16" t="s">
        <v>53</v>
      </c>
      <c r="D51" s="22">
        <f>(N4-N3)/D50</f>
        <v>612</v>
      </c>
      <c r="H51" s="5"/>
      <c r="J51" t="s">
        <v>94</v>
      </c>
      <c r="K51" s="6">
        <f>SUM(K48:K50)/K46</f>
        <v>0.1338316855558235</v>
      </c>
    </row>
    <row r="52" spans="8:11" ht="12.75">
      <c r="H52" s="15"/>
      <c r="I52" s="16"/>
      <c r="J52" s="16" t="s">
        <v>112</v>
      </c>
      <c r="K52" s="32">
        <f>($N$4-$N$7)/K51</f>
        <v>104.609009009009</v>
      </c>
    </row>
    <row r="53" ht="12.75">
      <c r="C53" s="38"/>
    </row>
    <row r="54" spans="2:12" ht="12.75">
      <c r="B54" s="39" t="s">
        <v>31</v>
      </c>
      <c r="C54" s="40"/>
      <c r="D54" s="40"/>
      <c r="E54" s="40"/>
      <c r="F54" s="41"/>
      <c r="H54" s="39" t="s">
        <v>23</v>
      </c>
      <c r="I54" s="40"/>
      <c r="J54" s="40"/>
      <c r="K54" s="40"/>
      <c r="L54" s="41"/>
    </row>
    <row r="55" spans="2:12" ht="12.75">
      <c r="B55" s="42" t="s">
        <v>113</v>
      </c>
      <c r="D55" t="s">
        <v>114</v>
      </c>
      <c r="E55" t="s">
        <v>115</v>
      </c>
      <c r="F55" s="43" t="s">
        <v>116</v>
      </c>
      <c r="H55" s="42" t="s">
        <v>113</v>
      </c>
      <c r="J55" t="s">
        <v>114</v>
      </c>
      <c r="K55" t="s">
        <v>115</v>
      </c>
      <c r="L55" s="44" t="s">
        <v>116</v>
      </c>
    </row>
    <row r="56" spans="2:12" ht="12.75">
      <c r="B56" s="42" t="s">
        <v>117</v>
      </c>
      <c r="C56">
        <v>24</v>
      </c>
      <c r="D56" s="45">
        <f>0.5/C56</f>
        <v>0.020833333333333332</v>
      </c>
      <c r="E56">
        <f aca="true" t="shared" si="14" ref="E56:E60">1/D56</f>
        <v>48</v>
      </c>
      <c r="F56" s="46">
        <f>N9</f>
        <v>8</v>
      </c>
      <c r="H56" s="42" t="s">
        <v>117</v>
      </c>
      <c r="I56">
        <f>(K31*K32)-K38-K46+10</f>
        <v>119.86</v>
      </c>
      <c r="J56" s="45">
        <f>0.5/I56</f>
        <v>0.004171533455698315</v>
      </c>
      <c r="K56">
        <f aca="true" t="shared" si="15" ref="K56:K60">1/J56</f>
        <v>239.72</v>
      </c>
      <c r="L56" s="46">
        <f>N9</f>
        <v>8</v>
      </c>
    </row>
    <row r="57" spans="2:12" ht="12.75">
      <c r="B57" s="42" t="s">
        <v>118</v>
      </c>
      <c r="C57">
        <v>6</v>
      </c>
      <c r="D57" s="45">
        <f>1.01/C57</f>
        <v>0.16833333333333333</v>
      </c>
      <c r="E57">
        <f t="shared" si="14"/>
        <v>5.9405940594059405</v>
      </c>
      <c r="F57" s="46">
        <f>N3</f>
        <v>-12</v>
      </c>
      <c r="H57" s="42" t="s">
        <v>118</v>
      </c>
      <c r="I57">
        <v>30</v>
      </c>
      <c r="J57" s="45">
        <f>1.01/I57</f>
        <v>0.033666666666666664</v>
      </c>
      <c r="K57">
        <f t="shared" si="15"/>
        <v>29.702970297029704</v>
      </c>
      <c r="L57" s="46">
        <f>N3</f>
        <v>-12</v>
      </c>
    </row>
    <row r="58" spans="2:12" ht="12.75">
      <c r="B58" s="42" t="s">
        <v>119</v>
      </c>
      <c r="C58">
        <v>7</v>
      </c>
      <c r="D58" s="45">
        <f>0.17/C58+D63</f>
        <v>0.13142857142857145</v>
      </c>
      <c r="E58">
        <f t="shared" si="14"/>
        <v>7.608695652173912</v>
      </c>
      <c r="F58" s="46">
        <f>F57</f>
        <v>-12</v>
      </c>
      <c r="H58" s="42" t="s">
        <v>120</v>
      </c>
      <c r="I58">
        <f>P47*P48</f>
        <v>13.2</v>
      </c>
      <c r="J58" s="45">
        <f>P49</f>
        <v>0.05874901613537978</v>
      </c>
      <c r="K58">
        <f t="shared" si="15"/>
        <v>17.02156164957086</v>
      </c>
      <c r="L58" s="46">
        <f aca="true" t="shared" si="16" ref="L58:L59">N7</f>
        <v>8</v>
      </c>
    </row>
    <row r="59" spans="2:12" ht="12.75">
      <c r="B59" s="42" t="s">
        <v>121</v>
      </c>
      <c r="C59">
        <v>14.5</v>
      </c>
      <c r="D59" s="45">
        <f>P34</f>
        <v>0.05476603199060827</v>
      </c>
      <c r="E59">
        <f t="shared" si="14"/>
        <v>18.259493405903285</v>
      </c>
      <c r="F59" s="46">
        <f>N6</f>
        <v>14</v>
      </c>
      <c r="H59" s="42" t="s">
        <v>122</v>
      </c>
      <c r="I59">
        <v>14.5</v>
      </c>
      <c r="J59" s="45">
        <f>P34</f>
        <v>0.05476603199060827</v>
      </c>
      <c r="K59">
        <f t="shared" si="15"/>
        <v>18.259493405903285</v>
      </c>
      <c r="L59" s="46">
        <f t="shared" si="16"/>
        <v>2</v>
      </c>
    </row>
    <row r="60" spans="2:12" ht="12.75">
      <c r="B60" s="42" t="s">
        <v>123</v>
      </c>
      <c r="D60" s="45">
        <f>K51</f>
        <v>0.1338316855558235</v>
      </c>
      <c r="E60">
        <f t="shared" si="14"/>
        <v>7.472072072072071</v>
      </c>
      <c r="F60" s="46">
        <f>N4</f>
        <v>22</v>
      </c>
      <c r="H60" s="42" t="s">
        <v>123</v>
      </c>
      <c r="I60">
        <f>K31*K32-K33-K34</f>
        <v>84.86</v>
      </c>
      <c r="J60" s="45">
        <f>K30/I60</f>
        <v>0.026983975251710347</v>
      </c>
      <c r="K60">
        <f t="shared" si="15"/>
        <v>37.059031913269195</v>
      </c>
      <c r="L60" s="46">
        <f>N4</f>
        <v>22</v>
      </c>
    </row>
    <row r="61" spans="2:12" ht="12.75">
      <c r="B61" s="42"/>
      <c r="D61" s="47" t="s">
        <v>124</v>
      </c>
      <c r="E61">
        <f>SUM(E56:E60)</f>
        <v>87.28085518955521</v>
      </c>
      <c r="F61" s="48">
        <f>(F56*E56+F57*E57+F58*E58+F59*E59+F60*E60)/E61</f>
        <v>7.349000136813875</v>
      </c>
      <c r="H61" s="42"/>
      <c r="J61" s="47" t="s">
        <v>124</v>
      </c>
      <c r="K61">
        <f>SUM(K56:K60)</f>
        <v>341.76305726577306</v>
      </c>
      <c r="L61" s="43"/>
    </row>
    <row r="62" spans="2:12" ht="12.75">
      <c r="B62" s="42"/>
      <c r="D62" s="49"/>
      <c r="F62" s="43"/>
      <c r="H62" s="50"/>
      <c r="I62" s="51"/>
      <c r="J62" s="51"/>
      <c r="K62" s="51" t="s">
        <v>125</v>
      </c>
      <c r="L62" s="52">
        <f>(L56*K56+L57*K57+L58*K58+L59*K59+L60*K60)/K61</f>
        <v>7.4593039953802185</v>
      </c>
    </row>
    <row r="63" spans="2:6" ht="12.75">
      <c r="B63" s="50" t="s">
        <v>126</v>
      </c>
      <c r="C63" s="51">
        <v>0.03</v>
      </c>
      <c r="D63" s="53">
        <f>C63/C58/0.04</f>
        <v>0.10714285714285715</v>
      </c>
      <c r="E63" s="51"/>
      <c r="F63" s="54"/>
    </row>
    <row r="64" ht="12.75">
      <c r="E64" s="55"/>
    </row>
    <row r="67" ht="69.75">
      <c r="M67" s="56" t="s">
        <v>127</v>
      </c>
    </row>
    <row r="68" ht="12.75">
      <c r="M68" s="57"/>
    </row>
    <row r="69" ht="12.75">
      <c r="M69" s="58" t="s">
        <v>128</v>
      </c>
    </row>
  </sheetData>
  <sheetProtection selectLockedCells="1" selectUnlockedCells="1"/>
  <hyperlinks>
    <hyperlink ref="M69" r:id="rId1" display="https://www.mpo-efekt.cz/cz/programy-podpory/efekt/i-ekis/114423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2009-04-16T09:32:48Z</dcterms:created>
  <dcterms:modified xsi:type="dcterms:W3CDTF">2022-04-29T22:35:40Z</dcterms:modified>
  <cp:category/>
  <cp:version/>
  <cp:contentType/>
  <cp:contentStatus/>
  <cp:revision>33</cp:revision>
</cp:coreProperties>
</file>