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<sst xmlns="http://schemas.openxmlformats.org/spreadsheetml/2006/main" count="97" uniqueCount="89">
  <si>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aproximace COP pro TČ Spirála BW13</t>
  </si>
  <si>
    <t>parametry pro výpočet</t>
  </si>
  <si>
    <t>kontrola dle skutečné spotřeby el. energie domu</t>
  </si>
  <si>
    <t>K1*t2/(t2-t1+K2)</t>
  </si>
  <si>
    <t>tepelná ztráta domu [KW]</t>
  </si>
  <si>
    <t xml:space="preserve">zateplení zap. </t>
  </si>
  <si>
    <t>datum</t>
  </si>
  <si>
    <t>stav elektroměru VT</t>
  </si>
  <si>
    <t>násobící konst. K1</t>
  </si>
  <si>
    <t>pro t&lt;35 st.C</t>
  </si>
  <si>
    <t>ztráta po zateplení [KW]</t>
  </si>
  <si>
    <t>28.10</t>
  </si>
  <si>
    <t>skutečně vytápěná plocha [%]</t>
  </si>
  <si>
    <t>vypočtená tepelná ztráta domu  9,5 KW</t>
  </si>
  <si>
    <t>29.11</t>
  </si>
  <si>
    <t>průměrná spotřeba za měsíc v létě [KWh]</t>
  </si>
  <si>
    <t>parametry nastavené při měření TČ</t>
  </si>
  <si>
    <t>nízkoteplotní konst. K2</t>
  </si>
  <si>
    <r>
      <t>konst. pod 35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</si>
  <si>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výpočtová teplota venkovní</t>
  </si>
  <si>
    <t>topí se přibližně na polovině plochy, chodba a ložnice se jen temperuje na cca 16 st.C</t>
  </si>
  <si>
    <t>2.1.2021</t>
  </si>
  <si>
    <t>výpočtová teplota interiér</t>
  </si>
  <si>
    <t>proto je počítáno jen 65% výpočtové tepelné ztráty</t>
  </si>
  <si>
    <t>30.1</t>
  </si>
  <si>
    <t>výkon TČ [%]</t>
  </si>
  <si>
    <t>teplota t1</t>
  </si>
  <si>
    <t>teplota t2</t>
  </si>
  <si>
    <t>Změřený COP</t>
  </si>
  <si>
    <t>t2-t1</t>
  </si>
  <si>
    <t>aproximace křivkou</t>
  </si>
  <si>
    <t>odchylka</t>
  </si>
  <si>
    <t>max. příkon oběhovek [W]</t>
  </si>
  <si>
    <t>15.2</t>
  </si>
  <si>
    <t>spotřeba [KWh]</t>
  </si>
  <si>
    <t>jen topení</t>
  </si>
  <si>
    <t>změřená data</t>
  </si>
  <si>
    <t>vypočítaná data</t>
  </si>
  <si>
    <t>čas</t>
  </si>
  <si>
    <t>hod. provozu</t>
  </si>
  <si>
    <t>TO</t>
  </si>
  <si>
    <t>SI</t>
  </si>
  <si>
    <t>obyvák</t>
  </si>
  <si>
    <t>venkovní</t>
  </si>
  <si>
    <t>tepelný výkon</t>
  </si>
  <si>
    <t>TO po</t>
  </si>
  <si>
    <t>rozdíl teplot</t>
  </si>
  <si>
    <t>COP</t>
  </si>
  <si>
    <t>příkon TČ</t>
  </si>
  <si>
    <t>příkon oběhovek</t>
  </si>
  <si>
    <t>příkon celk.</t>
  </si>
  <si>
    <t>spotřeba el.</t>
  </si>
  <si>
    <t>spotřeba tepla</t>
  </si>
  <si>
    <t>chladící energie</t>
  </si>
  <si>
    <t>z poměru teplot</t>
  </si>
  <si>
    <t>zateplení</t>
  </si>
  <si>
    <t>TO-SI</t>
  </si>
  <si>
    <t>z rozdílu teplot</t>
  </si>
  <si>
    <t>[KW]</t>
  </si>
  <si>
    <t>[W]</t>
  </si>
  <si>
    <t>[KWh]</t>
  </si>
  <si>
    <t>spotřeba za rok</t>
  </si>
  <si>
    <t>stav VT</t>
  </si>
  <si>
    <t>jmen. výkon TČ [KW]</t>
  </si>
  <si>
    <t>28.10.2020</t>
  </si>
  <si>
    <t>průběh COP v závislosti na teplotách</t>
  </si>
  <si>
    <t>21.9.2021</t>
  </si>
  <si>
    <t>aproximovaný</t>
  </si>
  <si>
    <t>rozdíl</t>
  </si>
  <si>
    <t>rozdíl t2-t1</t>
  </si>
  <si>
    <t>výkon [%] podle teplot</t>
  </si>
  <si>
    <t>výkon [KW]</t>
  </si>
  <si>
    <t>příkon</t>
  </si>
  <si>
    <t>spotřeba el. celk.</t>
  </si>
  <si>
    <t>spotř. tepla celk.</t>
  </si>
  <si>
    <t>chlazení celk.</t>
  </si>
  <si>
    <t xml:space="preserve">výpočet se provede jednou pro parametry bez zateplení, </t>
  </si>
  <si>
    <t>potom se zateplením a výsledky se přepíšou sem:</t>
  </si>
  <si>
    <t>za dobu měření</t>
  </si>
  <si>
    <t>za rok</t>
  </si>
  <si>
    <t>spotřeba tepelné energie nezatepleno</t>
  </si>
  <si>
    <t>spotřeba tepelné energie zatepleno</t>
  </si>
  <si>
    <t>spotřeba el. energie nezatepleno</t>
  </si>
  <si>
    <t>spotřeba el. energie zatepleno</t>
  </si>
  <si>
    <t>poměr spotřeby el. energie</t>
  </si>
  <si>
    <t>poměr spotřeby tepelné energie</t>
  </si>
  <si>
    <t>chladící energie z vrtu nezatepleno</t>
  </si>
  <si>
    <t>chladící energie z vrtu zatepleno</t>
  </si>
  <si>
    <t>poměr chladící energie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</si>
</sst>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GENERAL"/>
    <numFmt numFmtId="168" formatCode="DD/MM/YYYY"/>
    <numFmt numFmtId="169" formatCode="0.0"/>
    <numFmt numFmtId="170" formatCode="0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6" xfId="0" applyFont="1" applyBorder="1" applyAlignment="1">
      <alignment/>
    </xf>
    <xf numFmtId="164" fontId="0" fillId="2" borderId="8" xfId="0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9" xfId="0" applyFont="1" applyBorder="1" applyAlignment="1">
      <alignment/>
    </xf>
    <xf numFmtId="164" fontId="0" fillId="2" borderId="10" xfId="0" applyFill="1" applyBorder="1" applyAlignment="1">
      <alignment/>
    </xf>
    <xf numFmtId="164" fontId="0" fillId="0" borderId="0" xfId="0" applyAlignment="1">
      <alignment/>
    </xf>
    <xf numFmtId="165" fontId="0" fillId="0" borderId="7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3" xfId="0" applyFont="1" applyBorder="1" applyAlignment="1">
      <alignment/>
    </xf>
    <xf numFmtId="168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2" borderId="13" xfId="0" applyFill="1" applyBorder="1" applyAlignment="1">
      <alignment/>
    </xf>
    <xf numFmtId="169" fontId="0" fillId="0" borderId="6" xfId="0" applyNumberFormat="1" applyBorder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8" fontId="0" fillId="0" borderId="9" xfId="0" applyNumberFormat="1" applyBorder="1" applyAlignment="1">
      <alignment/>
    </xf>
    <xf numFmtId="164" fontId="0" fillId="0" borderId="12" xfId="0" applyBorder="1" applyAlignment="1">
      <alignment/>
    </xf>
    <xf numFmtId="169" fontId="0" fillId="0" borderId="9" xfId="0" applyNumberFormat="1" applyBorder="1" applyAlignment="1">
      <alignment/>
    </xf>
    <xf numFmtId="169" fontId="0" fillId="0" borderId="11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7" xfId="0" applyNumberFormat="1" applyBorder="1" applyAlignment="1">
      <alignment/>
    </xf>
    <xf numFmtId="170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2B2B2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List1!$D$17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List1!$C$18:$C$53</c:f>
              <c:numCache/>
            </c:numRef>
          </c:xVal>
          <c:yVal>
            <c:numRef>
              <c:f>List1!$D$18:$D$53</c:f>
              <c:numCache/>
            </c:numRef>
          </c:yVal>
          <c:smooth val="0"/>
        </c:ser>
        <c:ser>
          <c:idx val="1"/>
          <c:order val="1"/>
          <c:tx>
            <c:strRef>
              <c:f>List1!$G$17:$G$17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List1!$C$18:$C$53</c:f>
              <c:numCache/>
            </c:numRef>
          </c:xVal>
          <c:yVal>
            <c:numRef>
              <c:f>List1!$G$18:$G$53</c:f>
              <c:numCache/>
            </c:numRef>
          </c:yVal>
          <c:smooth val="0"/>
        </c:ser>
        <c:axId val="32688091"/>
        <c:axId val="25757364"/>
      </c:scatterChart>
      <c:valAx>
        <c:axId val="3268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7364"/>
        <c:crossesAt val="0"/>
        <c:crossBetween val="midCat"/>
        <c:dispUnits/>
      </c:valAx>
      <c:valAx>
        <c:axId val="257573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809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17</xdr:row>
      <xdr:rowOff>66675</xdr:rowOff>
    </xdr:from>
    <xdr:to>
      <xdr:col>11</xdr:col>
      <xdr:colOff>466725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8239125" y="2819400"/>
        <a:ext cx="3467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workbookViewId="0" topLeftCell="L1">
      <selection activeCell="Q2" sqref="Q2"/>
    </sheetView>
  </sheetViews>
  <sheetFormatPr defaultColWidth="11.421875" defaultRowHeight="12.75"/>
  <cols>
    <col min="1" max="1" width="12.57421875" style="0" customWidth="1"/>
    <col min="2" max="2" width="11.57421875" style="0" customWidth="1"/>
    <col min="3" max="3" width="12.140625" style="0" customWidth="1"/>
    <col min="4" max="4" width="20.421875" style="0" customWidth="1"/>
    <col min="5" max="5" width="19.7109375" style="0" customWidth="1"/>
    <col min="6" max="6" width="20.28125" style="0" customWidth="1"/>
    <col min="7" max="7" width="15.57421875" style="0" customWidth="1"/>
    <col min="8" max="8" width="11.57421875" style="0" customWidth="1"/>
    <col min="9" max="9" width="16.57421875" style="0" customWidth="1"/>
    <col min="10" max="10" width="15.57421875" style="0" customWidth="1"/>
    <col min="11" max="11" width="12.57421875" style="0" customWidth="1"/>
    <col min="12" max="12" width="11.140625" style="0" customWidth="1"/>
    <col min="13" max="13" width="26.28125" style="0" customWidth="1"/>
    <col min="14" max="15" width="11.57421875" style="0" customWidth="1"/>
    <col min="16" max="16" width="12.7109375" style="0" customWidth="1"/>
    <col min="17" max="19" width="11.57421875" style="0" customWidth="1"/>
    <col min="20" max="20" width="14.421875" style="0" customWidth="1"/>
    <col min="21" max="21" width="11.57421875" style="0" customWidth="1"/>
    <col min="22" max="22" width="13.8515625" style="0" customWidth="1"/>
    <col min="23" max="23" width="12.8515625" style="0" customWidth="1"/>
    <col min="24" max="24" width="9.8515625" style="0" customWidth="1"/>
    <col min="25" max="25" width="14.8515625" style="0" customWidth="1"/>
    <col min="26" max="26" width="15.28125" style="0" customWidth="1"/>
    <col min="27" max="27" width="14.57421875" style="0" customWidth="1"/>
    <col min="28" max="28" width="14.7109375" style="0" customWidth="1"/>
    <col min="29" max="29" width="13.7109375" style="0" customWidth="1"/>
    <col min="30" max="30" width="13.57421875" style="0" customWidth="1"/>
    <col min="31" max="31" width="15.00390625" style="0" customWidth="1"/>
    <col min="32" max="16384" width="11.57421875" style="0" customWidth="1"/>
  </cols>
  <sheetData>
    <row r="1" spans="1:31" ht="12.75">
      <c r="A1" s="1" t="s">
        <v>0</v>
      </c>
      <c r="M1" s="1" t="s">
        <v>1</v>
      </c>
      <c r="AE1" s="1" t="s">
        <v>2</v>
      </c>
    </row>
    <row r="2" spans="1:32" ht="12.75">
      <c r="A2" s="2"/>
      <c r="B2" s="3"/>
      <c r="C2" s="3"/>
      <c r="D2" s="3"/>
      <c r="E2" s="3"/>
      <c r="F2" s="4" t="s">
        <v>3</v>
      </c>
      <c r="G2" s="5"/>
      <c r="M2" s="6" t="s">
        <v>4</v>
      </c>
      <c r="N2" s="7">
        <v>9.5</v>
      </c>
      <c r="P2" t="s">
        <v>5</v>
      </c>
      <c r="Q2" s="8">
        <v>0</v>
      </c>
      <c r="AE2" t="s">
        <v>6</v>
      </c>
      <c r="AF2" t="s">
        <v>7</v>
      </c>
    </row>
    <row r="3" spans="1:32" ht="12.75">
      <c r="A3" s="9"/>
      <c r="F3" t="s">
        <v>8</v>
      </c>
      <c r="G3" s="10" t="s">
        <v>9</v>
      </c>
      <c r="J3" s="11"/>
      <c r="M3" s="12" t="s">
        <v>10</v>
      </c>
      <c r="N3" s="13">
        <v>3.92</v>
      </c>
      <c r="AE3" s="14" t="s">
        <v>11</v>
      </c>
      <c r="AF3">
        <v>36734</v>
      </c>
    </row>
    <row r="4" spans="1:34" ht="12.75">
      <c r="A4" s="9"/>
      <c r="F4">
        <v>119</v>
      </c>
      <c r="G4" s="10">
        <v>0.08745</v>
      </c>
      <c r="M4" s="12" t="s">
        <v>12</v>
      </c>
      <c r="N4" s="13">
        <v>65</v>
      </c>
      <c r="P4" t="s">
        <v>13</v>
      </c>
      <c r="AE4" s="14" t="s">
        <v>14</v>
      </c>
      <c r="AF4">
        <v>37504</v>
      </c>
      <c r="AH4" t="s">
        <v>15</v>
      </c>
    </row>
    <row r="5" spans="1:34" ht="12.75">
      <c r="A5" s="9" t="s">
        <v>16</v>
      </c>
      <c r="F5" t="s">
        <v>17</v>
      </c>
      <c r="G5" s="10" t="s">
        <v>18</v>
      </c>
      <c r="M5" s="12" t="s">
        <v>19</v>
      </c>
      <c r="N5" s="13">
        <v>-12</v>
      </c>
      <c r="P5" t="s">
        <v>20</v>
      </c>
      <c r="AE5" s="14" t="s">
        <v>21</v>
      </c>
      <c r="AF5">
        <v>38586</v>
      </c>
      <c r="AH5">
        <v>200</v>
      </c>
    </row>
    <row r="6" spans="1:32" ht="12.75">
      <c r="A6" s="9"/>
      <c r="F6">
        <v>-9.32</v>
      </c>
      <c r="G6" s="10">
        <v>15</v>
      </c>
      <c r="M6" s="12" t="s">
        <v>22</v>
      </c>
      <c r="N6" s="13">
        <v>22</v>
      </c>
      <c r="P6" t="s">
        <v>23</v>
      </c>
      <c r="AE6" s="14" t="s">
        <v>24</v>
      </c>
      <c r="AF6">
        <v>39638</v>
      </c>
    </row>
    <row r="7" spans="1:32" ht="12.75">
      <c r="A7" s="9" t="s">
        <v>25</v>
      </c>
      <c r="B7" t="s">
        <v>26</v>
      </c>
      <c r="C7" t="s">
        <v>27</v>
      </c>
      <c r="D7" t="s">
        <v>28</v>
      </c>
      <c r="E7" t="s">
        <v>29</v>
      </c>
      <c r="F7" t="s">
        <v>30</v>
      </c>
      <c r="G7" s="10" t="s">
        <v>31</v>
      </c>
      <c r="M7" s="15" t="s">
        <v>32</v>
      </c>
      <c r="N7" s="16">
        <v>100</v>
      </c>
      <c r="AE7" s="14" t="s">
        <v>33</v>
      </c>
      <c r="AF7">
        <v>40160</v>
      </c>
    </row>
    <row r="8" spans="1:31" ht="12.75">
      <c r="A8" s="9">
        <v>15.38</v>
      </c>
      <c r="B8">
        <v>0</v>
      </c>
      <c r="C8">
        <v>30.82</v>
      </c>
      <c r="D8">
        <v>4.022</v>
      </c>
      <c r="E8" s="17">
        <f aca="true" t="shared" si="0" ref="E8:E12">C8-B8</f>
        <v>30.82</v>
      </c>
      <c r="F8" s="11">
        <f aca="true" t="shared" si="1" ref="F8:F12">IF((C8-B8)&gt;35,$F$4/(C8-B8+$F$6),$G$4*(C8-B8+$G$6))</f>
        <v>4.006959</v>
      </c>
      <c r="G8" s="18">
        <f aca="true" t="shared" si="2" ref="G8:G12">F8-D8</f>
        <v>-0.015041000000000082</v>
      </c>
      <c r="AE8" s="14"/>
    </row>
    <row r="9" spans="1:32" ht="12.75">
      <c r="A9" s="9">
        <v>34.62</v>
      </c>
      <c r="B9">
        <v>0</v>
      </c>
      <c r="C9">
        <v>36</v>
      </c>
      <c r="D9">
        <v>4.44</v>
      </c>
      <c r="E9" s="17">
        <f t="shared" si="0"/>
        <v>36</v>
      </c>
      <c r="F9" s="11">
        <f t="shared" si="1"/>
        <v>4.460269865067466</v>
      </c>
      <c r="G9" s="18">
        <f t="shared" si="2"/>
        <v>0.02026986506746553</v>
      </c>
      <c r="AE9" s="14" t="s">
        <v>34</v>
      </c>
      <c r="AF9" s="17">
        <f>AF7-AF3</f>
        <v>3426</v>
      </c>
    </row>
    <row r="10" spans="1:32" ht="12.75">
      <c r="A10" s="9">
        <v>53.85</v>
      </c>
      <c r="B10">
        <v>0</v>
      </c>
      <c r="C10">
        <v>42</v>
      </c>
      <c r="D10">
        <v>3.773</v>
      </c>
      <c r="E10" s="17">
        <f t="shared" si="0"/>
        <v>42</v>
      </c>
      <c r="F10" s="11">
        <f t="shared" si="1"/>
        <v>3.641370869033048</v>
      </c>
      <c r="G10" s="18">
        <f t="shared" si="2"/>
        <v>-0.13162913096695217</v>
      </c>
      <c r="AE10" s="14" t="s">
        <v>35</v>
      </c>
      <c r="AF10" s="17">
        <f>AF9-AH5*3.5</f>
        <v>2726</v>
      </c>
    </row>
    <row r="11" spans="1:31" ht="12.75">
      <c r="A11" s="9">
        <v>88.46</v>
      </c>
      <c r="B11">
        <v>0</v>
      </c>
      <c r="C11">
        <v>52</v>
      </c>
      <c r="D11">
        <v>2.838</v>
      </c>
      <c r="E11" s="17">
        <f t="shared" si="0"/>
        <v>52</v>
      </c>
      <c r="F11" s="11">
        <f t="shared" si="1"/>
        <v>2.788191190253046</v>
      </c>
      <c r="G11" s="18">
        <f t="shared" si="2"/>
        <v>-0.04980880974695401</v>
      </c>
      <c r="M11" s="1" t="s">
        <v>36</v>
      </c>
      <c r="T11" s="1" t="s">
        <v>37</v>
      </c>
      <c r="AE11" s="14"/>
    </row>
    <row r="12" spans="1:31" ht="12.75">
      <c r="A12" s="19">
        <v>100</v>
      </c>
      <c r="B12" s="20">
        <v>0</v>
      </c>
      <c r="C12" s="20">
        <v>55</v>
      </c>
      <c r="D12" s="20">
        <v>2.59</v>
      </c>
      <c r="E12" s="20">
        <f t="shared" si="0"/>
        <v>55</v>
      </c>
      <c r="F12" s="21">
        <f t="shared" si="1"/>
        <v>2.60507880910683</v>
      </c>
      <c r="G12" s="22">
        <f t="shared" si="2"/>
        <v>0.015078809106830349</v>
      </c>
      <c r="M12" s="6" t="s">
        <v>6</v>
      </c>
      <c r="N12" s="4" t="s">
        <v>38</v>
      </c>
      <c r="O12" s="4" t="s">
        <v>39</v>
      </c>
      <c r="P12" s="4" t="s">
        <v>40</v>
      </c>
      <c r="Q12" s="4" t="s">
        <v>41</v>
      </c>
      <c r="R12" s="4" t="s">
        <v>42</v>
      </c>
      <c r="S12" s="23" t="s">
        <v>43</v>
      </c>
      <c r="T12" s="6" t="s">
        <v>44</v>
      </c>
      <c r="U12" s="4" t="s">
        <v>45</v>
      </c>
      <c r="V12" s="4" t="s">
        <v>46</v>
      </c>
      <c r="W12" s="4" t="s">
        <v>47</v>
      </c>
      <c r="X12" s="4" t="s">
        <v>48</v>
      </c>
      <c r="Y12" s="4" t="s">
        <v>49</v>
      </c>
      <c r="Z12" s="4" t="s">
        <v>50</v>
      </c>
      <c r="AA12" s="4" t="s">
        <v>51</v>
      </c>
      <c r="AB12" s="4" t="s">
        <v>52</v>
      </c>
      <c r="AC12" s="23" t="s">
        <v>53</v>
      </c>
      <c r="AE12" s="14"/>
    </row>
    <row r="13" spans="13:32" ht="12.75">
      <c r="M13" s="24">
        <v>44136</v>
      </c>
      <c r="N13">
        <v>0</v>
      </c>
      <c r="O13">
        <v>0</v>
      </c>
      <c r="S13" s="25"/>
      <c r="T13" s="12" t="s">
        <v>54</v>
      </c>
      <c r="U13" t="s">
        <v>55</v>
      </c>
      <c r="V13" t="s">
        <v>56</v>
      </c>
      <c r="W13" s="11" t="s">
        <v>57</v>
      </c>
      <c r="X13" t="s">
        <v>58</v>
      </c>
      <c r="Y13" t="s">
        <v>59</v>
      </c>
      <c r="Z13" t="s">
        <v>58</v>
      </c>
      <c r="AA13" s="26" t="s">
        <v>60</v>
      </c>
      <c r="AB13" s="26" t="s">
        <v>60</v>
      </c>
      <c r="AC13" s="10" t="s">
        <v>60</v>
      </c>
      <c r="AE13" s="14" t="s">
        <v>61</v>
      </c>
      <c r="AF13" s="27" t="s">
        <v>62</v>
      </c>
    </row>
    <row r="14" spans="5:32" ht="12.75">
      <c r="E14" t="s">
        <v>63</v>
      </c>
      <c r="M14" s="24">
        <v>44142</v>
      </c>
      <c r="N14">
        <v>9</v>
      </c>
      <c r="O14" s="17">
        <f aca="true" t="shared" si="3" ref="O14:O61">((M14-$M$13)*24)+N14</f>
        <v>153</v>
      </c>
      <c r="S14" s="25"/>
      <c r="T14" s="12"/>
      <c r="W14" s="11"/>
      <c r="AA14" s="26"/>
      <c r="AC14" s="10"/>
      <c r="AE14" s="14" t="s">
        <v>64</v>
      </c>
      <c r="AF14">
        <v>36734</v>
      </c>
    </row>
    <row r="15" spans="1:32" ht="12.75">
      <c r="A15" s="1" t="s">
        <v>65</v>
      </c>
      <c r="E15" s="28">
        <v>13</v>
      </c>
      <c r="M15" s="24">
        <v>44142</v>
      </c>
      <c r="N15">
        <v>22</v>
      </c>
      <c r="O15" s="17">
        <f t="shared" si="3"/>
        <v>166</v>
      </c>
      <c r="P15">
        <v>41.2</v>
      </c>
      <c r="Q15">
        <v>5.8</v>
      </c>
      <c r="R15">
        <v>22.3</v>
      </c>
      <c r="S15" s="25">
        <v>5.5</v>
      </c>
      <c r="T15" s="29">
        <f aca="true" t="shared" si="4" ref="T15:T61">IF($Q$2&gt;0,(R15-S15)/($N$6-$N$5)*$N$3*$N$4/100,(R15-S15)/($N$6-$N$5)*$N$2*$N$4/100)</f>
        <v>3.0511764705882354</v>
      </c>
      <c r="U15" s="11">
        <f aca="true" t="shared" si="5" ref="U15:U61">IF($Q$2&gt;0,(P15-R15)*$N$3/$N$2+R15,P15)</f>
        <v>41.2</v>
      </c>
      <c r="V15" s="11">
        <f aca="true" t="shared" si="6" ref="V15:V61">U15-Q15</f>
        <v>35.400000000000006</v>
      </c>
      <c r="W15" s="11">
        <f aca="true" t="shared" si="7" ref="W15:W61">IF(V15&gt;35,$F$4/(V15+$F$6),$G$4*(V15+$G$6))</f>
        <v>4.562883435582821</v>
      </c>
      <c r="X15" s="11">
        <f aca="true" t="shared" si="8" ref="X15:X61">T15/W15</f>
        <v>0.6686948096885815</v>
      </c>
      <c r="Y15" s="30">
        <f aca="true" t="shared" si="9" ref="Y15:Y61">IF((V15&gt;40),100,(V15-26)*7)</f>
        <v>65.80000000000004</v>
      </c>
      <c r="Z15" s="11">
        <f aca="true" t="shared" si="10" ref="Z15:Z61">X15+Y15/1000</f>
        <v>0.7344948096885816</v>
      </c>
      <c r="AA15" s="31">
        <f aca="true" t="shared" si="11" ref="AA15:AA61">Z15*(O15-O14)</f>
        <v>9.548432525951561</v>
      </c>
      <c r="AB15" s="11">
        <f aca="true" t="shared" si="12" ref="AB15:AB61">(T15)*(O15-O14)</f>
        <v>39.66529411764706</v>
      </c>
      <c r="AC15" s="18">
        <f aca="true" t="shared" si="13" ref="AC15:AC61">(T15-X15)*(O15-O14)</f>
        <v>30.972261591695503</v>
      </c>
      <c r="AE15" s="14" t="s">
        <v>66</v>
      </c>
      <c r="AF15">
        <v>43205</v>
      </c>
    </row>
    <row r="16" spans="1:32" ht="12.75">
      <c r="A16" s="2"/>
      <c r="B16" s="4"/>
      <c r="C16" s="4"/>
      <c r="D16" s="4" t="s">
        <v>67</v>
      </c>
      <c r="E16" s="4"/>
      <c r="F16" s="3"/>
      <c r="G16" s="5"/>
      <c r="M16" s="24">
        <v>44144</v>
      </c>
      <c r="N16">
        <v>10</v>
      </c>
      <c r="O16" s="17">
        <f t="shared" si="3"/>
        <v>202</v>
      </c>
      <c r="P16">
        <v>38.9</v>
      </c>
      <c r="Q16">
        <v>4.6</v>
      </c>
      <c r="R16">
        <v>22</v>
      </c>
      <c r="S16" s="25">
        <v>7.3</v>
      </c>
      <c r="T16" s="29">
        <f t="shared" si="4"/>
        <v>2.669779411764706</v>
      </c>
      <c r="U16" s="11">
        <f t="shared" si="5"/>
        <v>38.9</v>
      </c>
      <c r="V16" s="11">
        <f t="shared" si="6"/>
        <v>34.3</v>
      </c>
      <c r="W16" s="11">
        <f t="shared" si="7"/>
        <v>4.311285</v>
      </c>
      <c r="X16" s="11">
        <f t="shared" si="8"/>
        <v>0.6192537519010471</v>
      </c>
      <c r="Y16" s="30">
        <f t="shared" si="9"/>
        <v>58.09999999999998</v>
      </c>
      <c r="Z16" s="11">
        <f t="shared" si="10"/>
        <v>0.6773537519010471</v>
      </c>
      <c r="AA16" s="31">
        <f t="shared" si="11"/>
        <v>24.384735068437696</v>
      </c>
      <c r="AB16" s="11">
        <f t="shared" si="12"/>
        <v>96.11205882352942</v>
      </c>
      <c r="AC16" s="18">
        <f t="shared" si="13"/>
        <v>73.81892375509172</v>
      </c>
      <c r="AE16" s="14" t="s">
        <v>68</v>
      </c>
      <c r="AF16" s="17">
        <f>AF15-AF14</f>
        <v>6471</v>
      </c>
    </row>
    <row r="17" spans="1:32" ht="12.75">
      <c r="A17" s="9" t="s">
        <v>26</v>
      </c>
      <c r="B17" t="s">
        <v>27</v>
      </c>
      <c r="C17" t="s">
        <v>69</v>
      </c>
      <c r="D17" t="s">
        <v>47</v>
      </c>
      <c r="E17" t="s">
        <v>70</v>
      </c>
      <c r="F17" t="s">
        <v>71</v>
      </c>
      <c r="G17" s="10" t="s">
        <v>72</v>
      </c>
      <c r="M17" s="24">
        <v>44144</v>
      </c>
      <c r="N17">
        <v>17</v>
      </c>
      <c r="O17" s="17">
        <f t="shared" si="3"/>
        <v>209</v>
      </c>
      <c r="P17">
        <v>36</v>
      </c>
      <c r="Q17">
        <v>5</v>
      </c>
      <c r="R17">
        <v>22</v>
      </c>
      <c r="S17" s="25">
        <v>6.6</v>
      </c>
      <c r="T17" s="29">
        <f t="shared" si="4"/>
        <v>2.7969117647058823</v>
      </c>
      <c r="U17" s="11">
        <f t="shared" si="5"/>
        <v>36</v>
      </c>
      <c r="V17" s="11">
        <f t="shared" si="6"/>
        <v>31</v>
      </c>
      <c r="W17" s="11">
        <f t="shared" si="7"/>
        <v>4.0227</v>
      </c>
      <c r="X17" s="11">
        <f t="shared" si="8"/>
        <v>0.6952822146085669</v>
      </c>
      <c r="Y17" s="30">
        <f t="shared" si="9"/>
        <v>35</v>
      </c>
      <c r="Z17" s="11">
        <f t="shared" si="10"/>
        <v>0.7302822146085669</v>
      </c>
      <c r="AA17" s="31">
        <f t="shared" si="11"/>
        <v>5.111975502259968</v>
      </c>
      <c r="AB17" s="11">
        <f t="shared" si="12"/>
        <v>19.578382352941176</v>
      </c>
      <c r="AC17" s="18">
        <f t="shared" si="13"/>
        <v>14.711406850681207</v>
      </c>
      <c r="AE17" s="14" t="s">
        <v>35</v>
      </c>
      <c r="AF17" s="17">
        <f>AF16-AH5*12</f>
        <v>4071</v>
      </c>
    </row>
    <row r="18" spans="1:30" ht="12.75">
      <c r="A18" s="9">
        <v>0</v>
      </c>
      <c r="B18">
        <v>30</v>
      </c>
      <c r="C18" s="17">
        <f aca="true" t="shared" si="14" ref="C18:C53">B18-A18</f>
        <v>30</v>
      </c>
      <c r="D18" s="11">
        <f aca="true" t="shared" si="15" ref="D18:D53">IF((B18-A18)&gt;35,$F$4/(B18-A18+$F$6),$G$4*(B18-A18+$G$6))</f>
        <v>3.93525</v>
      </c>
      <c r="E18" s="17">
        <f aca="true" t="shared" si="16" ref="E18:E53">IF((B18-A18)&lt;55,15+(B18-A18-30)*3.3,100)</f>
        <v>15</v>
      </c>
      <c r="F18" s="17">
        <f aca="true" t="shared" si="17" ref="F18:F53">$E$15*E18/100</f>
        <v>1.95</v>
      </c>
      <c r="G18" s="18">
        <f aca="true" t="shared" si="18" ref="G18:G53">$E$15*E18/100/D18</f>
        <v>0.49552125023823135</v>
      </c>
      <c r="M18" s="24">
        <v>44145</v>
      </c>
      <c r="N18">
        <v>22</v>
      </c>
      <c r="O18" s="17">
        <f t="shared" si="3"/>
        <v>238</v>
      </c>
      <c r="P18">
        <v>43.2</v>
      </c>
      <c r="Q18">
        <v>4</v>
      </c>
      <c r="R18">
        <v>22.2</v>
      </c>
      <c r="S18" s="25">
        <v>6.3</v>
      </c>
      <c r="T18" s="29">
        <f t="shared" si="4"/>
        <v>2.887720588235294</v>
      </c>
      <c r="U18" s="11">
        <f t="shared" si="5"/>
        <v>43.2</v>
      </c>
      <c r="V18" s="11">
        <f t="shared" si="6"/>
        <v>39.2</v>
      </c>
      <c r="W18" s="11">
        <f t="shared" si="7"/>
        <v>3.9825970548862113</v>
      </c>
      <c r="X18" s="11">
        <f t="shared" si="8"/>
        <v>0.7250847998022739</v>
      </c>
      <c r="Y18" s="30">
        <f t="shared" si="9"/>
        <v>92.40000000000002</v>
      </c>
      <c r="Z18" s="11">
        <f t="shared" si="10"/>
        <v>0.817484799802274</v>
      </c>
      <c r="AA18" s="31">
        <f t="shared" si="11"/>
        <v>23.707059194265945</v>
      </c>
      <c r="AB18" s="11">
        <f t="shared" si="12"/>
        <v>83.74389705882353</v>
      </c>
      <c r="AC18" s="18">
        <f t="shared" si="13"/>
        <v>62.716437864557584</v>
      </c>
      <c r="AD18" s="14"/>
    </row>
    <row r="19" spans="1:29" ht="12.75">
      <c r="A19" s="9">
        <f aca="true" t="shared" si="19" ref="A19:A53">A18</f>
        <v>0</v>
      </c>
      <c r="B19" s="17">
        <f aca="true" t="shared" si="20" ref="B19:B53">B18+1</f>
        <v>31</v>
      </c>
      <c r="C19" s="17">
        <f t="shared" si="14"/>
        <v>31</v>
      </c>
      <c r="D19" s="11">
        <f t="shared" si="15"/>
        <v>4.0227</v>
      </c>
      <c r="E19" s="32">
        <f t="shared" si="16"/>
        <v>18.3</v>
      </c>
      <c r="F19" s="32">
        <f t="shared" si="17"/>
        <v>2.379</v>
      </c>
      <c r="G19" s="18">
        <f t="shared" si="18"/>
        <v>0.5913938399582369</v>
      </c>
      <c r="M19" s="24">
        <v>44146</v>
      </c>
      <c r="N19">
        <v>10</v>
      </c>
      <c r="O19" s="17">
        <f t="shared" si="3"/>
        <v>250</v>
      </c>
      <c r="P19">
        <v>38.6</v>
      </c>
      <c r="Q19">
        <v>4.8</v>
      </c>
      <c r="R19">
        <v>22</v>
      </c>
      <c r="S19" s="25">
        <v>6.8</v>
      </c>
      <c r="T19" s="29">
        <f t="shared" si="4"/>
        <v>2.760588235294118</v>
      </c>
      <c r="U19" s="11">
        <f t="shared" si="5"/>
        <v>38.6</v>
      </c>
      <c r="V19" s="11">
        <f t="shared" si="6"/>
        <v>33.800000000000004</v>
      </c>
      <c r="W19" s="11">
        <f t="shared" si="7"/>
        <v>4.2675600000000005</v>
      </c>
      <c r="X19" s="11">
        <f t="shared" si="8"/>
        <v>0.646877427685637</v>
      </c>
      <c r="Y19" s="30">
        <f t="shared" si="9"/>
        <v>54.60000000000003</v>
      </c>
      <c r="Z19" s="11">
        <f t="shared" si="10"/>
        <v>0.701477427685637</v>
      </c>
      <c r="AA19" s="31">
        <f t="shared" si="11"/>
        <v>8.417729132227645</v>
      </c>
      <c r="AB19" s="11">
        <f t="shared" si="12"/>
        <v>33.12705882352941</v>
      </c>
      <c r="AC19" s="18">
        <f t="shared" si="13"/>
        <v>25.36452969130177</v>
      </c>
    </row>
    <row r="20" spans="1:30" ht="12.75">
      <c r="A20" s="9">
        <f t="shared" si="19"/>
        <v>0</v>
      </c>
      <c r="B20" s="17">
        <f t="shared" si="20"/>
        <v>32</v>
      </c>
      <c r="C20" s="17">
        <f t="shared" si="14"/>
        <v>32</v>
      </c>
      <c r="D20" s="11">
        <f t="shared" si="15"/>
        <v>4.11015</v>
      </c>
      <c r="E20" s="32">
        <f t="shared" si="16"/>
        <v>21.6</v>
      </c>
      <c r="F20" s="32">
        <f t="shared" si="17"/>
        <v>2.8080000000000003</v>
      </c>
      <c r="G20" s="18">
        <f t="shared" si="18"/>
        <v>0.6831867450093063</v>
      </c>
      <c r="M20" s="24">
        <v>44153</v>
      </c>
      <c r="N20">
        <v>10</v>
      </c>
      <c r="O20" s="17">
        <f t="shared" si="3"/>
        <v>418</v>
      </c>
      <c r="P20">
        <v>38.3</v>
      </c>
      <c r="Q20">
        <v>4.8</v>
      </c>
      <c r="R20">
        <v>22</v>
      </c>
      <c r="S20" s="25">
        <v>9</v>
      </c>
      <c r="T20" s="29">
        <f t="shared" si="4"/>
        <v>2.3610294117647057</v>
      </c>
      <c r="U20" s="11">
        <f t="shared" si="5"/>
        <v>38.3</v>
      </c>
      <c r="V20" s="11">
        <f t="shared" si="6"/>
        <v>33.5</v>
      </c>
      <c r="W20" s="11">
        <f t="shared" si="7"/>
        <v>4.241325</v>
      </c>
      <c r="X20" s="11">
        <f t="shared" si="8"/>
        <v>0.5566725991912211</v>
      </c>
      <c r="Y20" s="30">
        <f t="shared" si="9"/>
        <v>52.5</v>
      </c>
      <c r="Z20" s="11">
        <f t="shared" si="10"/>
        <v>0.6091725991912211</v>
      </c>
      <c r="AA20" s="31">
        <f t="shared" si="11"/>
        <v>102.34099666412516</v>
      </c>
      <c r="AB20" s="11">
        <f t="shared" si="12"/>
        <v>396.65294117647056</v>
      </c>
      <c r="AC20" s="18">
        <f t="shared" si="13"/>
        <v>303.1319445123454</v>
      </c>
      <c r="AD20" s="14"/>
    </row>
    <row r="21" spans="1:29" ht="12.75">
      <c r="A21" s="9">
        <f t="shared" si="19"/>
        <v>0</v>
      </c>
      <c r="B21" s="17">
        <f t="shared" si="20"/>
        <v>33</v>
      </c>
      <c r="C21" s="17">
        <f t="shared" si="14"/>
        <v>33</v>
      </c>
      <c r="D21" s="11">
        <f t="shared" si="15"/>
        <v>4.1975999999999996</v>
      </c>
      <c r="E21" s="32">
        <f t="shared" si="16"/>
        <v>24.9</v>
      </c>
      <c r="F21" s="32">
        <f t="shared" si="17"/>
        <v>3.237</v>
      </c>
      <c r="G21" s="18">
        <f t="shared" si="18"/>
        <v>0.7711549456832477</v>
      </c>
      <c r="M21" s="24">
        <v>44159</v>
      </c>
      <c r="N21">
        <v>11</v>
      </c>
      <c r="O21" s="17">
        <f t="shared" si="3"/>
        <v>563</v>
      </c>
      <c r="P21">
        <v>41.3</v>
      </c>
      <c r="Q21">
        <v>2.4</v>
      </c>
      <c r="R21">
        <v>21.7</v>
      </c>
      <c r="S21" s="25">
        <v>5</v>
      </c>
      <c r="T21" s="29">
        <f t="shared" si="4"/>
        <v>3.033014705882353</v>
      </c>
      <c r="U21" s="11">
        <f t="shared" si="5"/>
        <v>41.3</v>
      </c>
      <c r="V21" s="11">
        <f t="shared" si="6"/>
        <v>38.9</v>
      </c>
      <c r="W21" s="11">
        <f t="shared" si="7"/>
        <v>4.022988505747127</v>
      </c>
      <c r="X21" s="11">
        <f t="shared" si="8"/>
        <v>0.7539207983193278</v>
      </c>
      <c r="Y21" s="30">
        <f t="shared" si="9"/>
        <v>90.29999999999998</v>
      </c>
      <c r="Z21" s="11">
        <f t="shared" si="10"/>
        <v>0.8442207983193277</v>
      </c>
      <c r="AA21" s="31">
        <f t="shared" si="11"/>
        <v>122.41201575630252</v>
      </c>
      <c r="AB21" s="11">
        <f t="shared" si="12"/>
        <v>439.7871323529412</v>
      </c>
      <c r="AC21" s="18">
        <f t="shared" si="13"/>
        <v>330.46861659663864</v>
      </c>
    </row>
    <row r="22" spans="1:29" ht="12.75">
      <c r="A22" s="9">
        <f t="shared" si="19"/>
        <v>0</v>
      </c>
      <c r="B22" s="17">
        <f t="shared" si="20"/>
        <v>34</v>
      </c>
      <c r="C22" s="17">
        <f t="shared" si="14"/>
        <v>34</v>
      </c>
      <c r="D22" s="11">
        <f t="shared" si="15"/>
        <v>4.28505</v>
      </c>
      <c r="E22" s="32">
        <f t="shared" si="16"/>
        <v>28.2</v>
      </c>
      <c r="F22" s="32">
        <f t="shared" si="17"/>
        <v>3.6659999999999995</v>
      </c>
      <c r="G22" s="18">
        <f t="shared" si="18"/>
        <v>0.8555326075541708</v>
      </c>
      <c r="M22" s="24">
        <v>44161</v>
      </c>
      <c r="N22">
        <v>18</v>
      </c>
      <c r="O22" s="17">
        <f t="shared" si="3"/>
        <v>618</v>
      </c>
      <c r="P22">
        <v>41.3</v>
      </c>
      <c r="Q22">
        <v>1.8</v>
      </c>
      <c r="R22">
        <v>21.7</v>
      </c>
      <c r="S22" s="25">
        <v>1.3</v>
      </c>
      <c r="T22" s="29">
        <f t="shared" si="4"/>
        <v>3.705</v>
      </c>
      <c r="U22" s="11">
        <f t="shared" si="5"/>
        <v>41.3</v>
      </c>
      <c r="V22" s="11">
        <f t="shared" si="6"/>
        <v>39.5</v>
      </c>
      <c r="W22" s="11">
        <f t="shared" si="7"/>
        <v>3.9430086149768058</v>
      </c>
      <c r="X22" s="11">
        <f t="shared" si="8"/>
        <v>0.9396378151260505</v>
      </c>
      <c r="Y22" s="30">
        <f t="shared" si="9"/>
        <v>94.5</v>
      </c>
      <c r="Z22" s="11">
        <f t="shared" si="10"/>
        <v>1.0341378151260505</v>
      </c>
      <c r="AA22" s="31">
        <f t="shared" si="11"/>
        <v>56.87757983193278</v>
      </c>
      <c r="AB22" s="11">
        <f t="shared" si="12"/>
        <v>203.775</v>
      </c>
      <c r="AC22" s="18">
        <f t="shared" si="13"/>
        <v>152.09492016806723</v>
      </c>
    </row>
    <row r="23" spans="1:29" ht="12.75">
      <c r="A23" s="9">
        <f t="shared" si="19"/>
        <v>0</v>
      </c>
      <c r="B23" s="17">
        <f t="shared" si="20"/>
        <v>35</v>
      </c>
      <c r="C23" s="17">
        <f t="shared" si="14"/>
        <v>35</v>
      </c>
      <c r="D23" s="11">
        <f t="shared" si="15"/>
        <v>4.3725</v>
      </c>
      <c r="E23" s="32">
        <f t="shared" si="16"/>
        <v>31.5</v>
      </c>
      <c r="F23" s="32">
        <f t="shared" si="17"/>
        <v>4.095</v>
      </c>
      <c r="G23" s="18">
        <f t="shared" si="18"/>
        <v>0.9365351629502573</v>
      </c>
      <c r="M23" s="24">
        <v>44162</v>
      </c>
      <c r="N23">
        <v>20</v>
      </c>
      <c r="O23" s="17">
        <f t="shared" si="3"/>
        <v>644</v>
      </c>
      <c r="P23">
        <v>41.5</v>
      </c>
      <c r="Q23">
        <v>1.8</v>
      </c>
      <c r="R23">
        <v>21.7</v>
      </c>
      <c r="S23" s="25">
        <v>3.2</v>
      </c>
      <c r="T23" s="29">
        <f t="shared" si="4"/>
        <v>3.3599264705882352</v>
      </c>
      <c r="U23" s="11">
        <f t="shared" si="5"/>
        <v>41.5</v>
      </c>
      <c r="V23" s="11">
        <f t="shared" si="6"/>
        <v>39.7</v>
      </c>
      <c r="W23" s="11">
        <f t="shared" si="7"/>
        <v>3.9170506912442393</v>
      </c>
      <c r="X23" s="11">
        <f t="shared" si="8"/>
        <v>0.8577694636678201</v>
      </c>
      <c r="Y23" s="30">
        <f t="shared" si="9"/>
        <v>95.90000000000002</v>
      </c>
      <c r="Z23" s="11">
        <f t="shared" si="10"/>
        <v>0.9536694636678201</v>
      </c>
      <c r="AA23" s="31">
        <f t="shared" si="11"/>
        <v>24.795406055363323</v>
      </c>
      <c r="AB23" s="11">
        <f t="shared" si="12"/>
        <v>87.35808823529412</v>
      </c>
      <c r="AC23" s="18">
        <f t="shared" si="13"/>
        <v>65.05608217993078</v>
      </c>
    </row>
    <row r="24" spans="1:29" ht="12.75">
      <c r="A24" s="9">
        <f t="shared" si="19"/>
        <v>0</v>
      </c>
      <c r="B24" s="17">
        <f t="shared" si="20"/>
        <v>36</v>
      </c>
      <c r="C24" s="17">
        <f t="shared" si="14"/>
        <v>36</v>
      </c>
      <c r="D24" s="11">
        <f t="shared" si="15"/>
        <v>4.460269865067466</v>
      </c>
      <c r="E24" s="32">
        <f t="shared" si="16"/>
        <v>34.8</v>
      </c>
      <c r="F24" s="32">
        <f t="shared" si="17"/>
        <v>4.524</v>
      </c>
      <c r="G24" s="18">
        <f t="shared" si="18"/>
        <v>1.0142884033613446</v>
      </c>
      <c r="M24" s="24">
        <v>44176</v>
      </c>
      <c r="N24">
        <v>21</v>
      </c>
      <c r="O24" s="17">
        <f t="shared" si="3"/>
        <v>981</v>
      </c>
      <c r="P24">
        <v>40.1</v>
      </c>
      <c r="Q24">
        <v>2.1</v>
      </c>
      <c r="R24">
        <v>21.8</v>
      </c>
      <c r="S24" s="25">
        <v>3.7</v>
      </c>
      <c r="T24" s="29">
        <f t="shared" si="4"/>
        <v>3.287279411764706</v>
      </c>
      <c r="U24" s="11">
        <f t="shared" si="5"/>
        <v>40.1</v>
      </c>
      <c r="V24" s="11">
        <f t="shared" si="6"/>
        <v>38</v>
      </c>
      <c r="W24" s="11">
        <f t="shared" si="7"/>
        <v>4.149232914923291</v>
      </c>
      <c r="X24" s="11">
        <f t="shared" si="8"/>
        <v>0.7922619624320317</v>
      </c>
      <c r="Y24" s="30">
        <f t="shared" si="9"/>
        <v>84</v>
      </c>
      <c r="Z24" s="11">
        <f t="shared" si="10"/>
        <v>0.8762619624320317</v>
      </c>
      <c r="AA24" s="31">
        <f t="shared" si="11"/>
        <v>295.3002813395947</v>
      </c>
      <c r="AB24" s="11">
        <f t="shared" si="12"/>
        <v>1107.813161764706</v>
      </c>
      <c r="AC24" s="18">
        <f t="shared" si="13"/>
        <v>840.8208804251113</v>
      </c>
    </row>
    <row r="25" spans="1:29" ht="12.75">
      <c r="A25" s="9">
        <f t="shared" si="19"/>
        <v>0</v>
      </c>
      <c r="B25" s="17">
        <f t="shared" si="20"/>
        <v>37</v>
      </c>
      <c r="C25" s="17">
        <f t="shared" si="14"/>
        <v>37</v>
      </c>
      <c r="D25" s="11">
        <f t="shared" si="15"/>
        <v>4.2991329479768785</v>
      </c>
      <c r="E25" s="32">
        <f t="shared" si="16"/>
        <v>38.099999999999994</v>
      </c>
      <c r="F25" s="32">
        <f t="shared" si="17"/>
        <v>4.952999999999999</v>
      </c>
      <c r="G25" s="18">
        <f t="shared" si="18"/>
        <v>1.1520927731092436</v>
      </c>
      <c r="M25" s="24">
        <v>44177</v>
      </c>
      <c r="N25">
        <v>10</v>
      </c>
      <c r="O25" s="17">
        <f t="shared" si="3"/>
        <v>994</v>
      </c>
      <c r="P25">
        <v>45.4</v>
      </c>
      <c r="Q25">
        <v>1.8</v>
      </c>
      <c r="R25">
        <v>20.7</v>
      </c>
      <c r="S25" s="25">
        <v>4.5</v>
      </c>
      <c r="T25" s="29">
        <f t="shared" si="4"/>
        <v>2.942205882352941</v>
      </c>
      <c r="U25" s="11">
        <f t="shared" si="5"/>
        <v>45.4</v>
      </c>
      <c r="V25" s="11">
        <f t="shared" si="6"/>
        <v>43.6</v>
      </c>
      <c r="W25" s="11">
        <f t="shared" si="7"/>
        <v>3.471411901983664</v>
      </c>
      <c r="X25" s="11">
        <f t="shared" si="8"/>
        <v>0.8475530894710824</v>
      </c>
      <c r="Y25" s="30">
        <f t="shared" si="9"/>
        <v>100</v>
      </c>
      <c r="Z25" s="11">
        <f t="shared" si="10"/>
        <v>0.9475530894710824</v>
      </c>
      <c r="AA25" s="31">
        <f t="shared" si="11"/>
        <v>12.318190163124072</v>
      </c>
      <c r="AB25" s="11">
        <f t="shared" si="12"/>
        <v>38.24867647058823</v>
      </c>
      <c r="AC25" s="18">
        <f t="shared" si="13"/>
        <v>27.230486307464158</v>
      </c>
    </row>
    <row r="26" spans="1:29" ht="12.75">
      <c r="A26" s="9">
        <f t="shared" si="19"/>
        <v>0</v>
      </c>
      <c r="B26" s="17">
        <f t="shared" si="20"/>
        <v>38</v>
      </c>
      <c r="C26" s="17">
        <f t="shared" si="14"/>
        <v>38</v>
      </c>
      <c r="D26" s="11">
        <f t="shared" si="15"/>
        <v>4.149232914923291</v>
      </c>
      <c r="E26" s="32">
        <f t="shared" si="16"/>
        <v>41.4</v>
      </c>
      <c r="F26" s="32">
        <f t="shared" si="17"/>
        <v>5.382</v>
      </c>
      <c r="G26" s="18">
        <f t="shared" si="18"/>
        <v>1.2971072268907562</v>
      </c>
      <c r="M26" s="24">
        <v>44178</v>
      </c>
      <c r="N26">
        <v>19</v>
      </c>
      <c r="O26" s="17">
        <f t="shared" si="3"/>
        <v>1027</v>
      </c>
      <c r="P26">
        <v>41.4</v>
      </c>
      <c r="Q26">
        <v>2.2</v>
      </c>
      <c r="R26">
        <v>21.7</v>
      </c>
      <c r="S26" s="25">
        <v>5.7</v>
      </c>
      <c r="T26" s="29">
        <f t="shared" si="4"/>
        <v>2.905882352941177</v>
      </c>
      <c r="U26" s="11">
        <f t="shared" si="5"/>
        <v>41.4</v>
      </c>
      <c r="V26" s="11">
        <f t="shared" si="6"/>
        <v>39.199999999999996</v>
      </c>
      <c r="W26" s="11">
        <f t="shared" si="7"/>
        <v>3.982597054886212</v>
      </c>
      <c r="X26" s="11">
        <f t="shared" si="8"/>
        <v>0.7296450815620366</v>
      </c>
      <c r="Y26" s="30">
        <f t="shared" si="9"/>
        <v>92.39999999999998</v>
      </c>
      <c r="Z26" s="11">
        <f t="shared" si="10"/>
        <v>0.8220450815620366</v>
      </c>
      <c r="AA26" s="31">
        <f t="shared" si="11"/>
        <v>27.12748769154721</v>
      </c>
      <c r="AB26" s="11">
        <f t="shared" si="12"/>
        <v>95.89411764705883</v>
      </c>
      <c r="AC26" s="18">
        <f t="shared" si="13"/>
        <v>71.81582995551162</v>
      </c>
    </row>
    <row r="27" spans="1:29" ht="12.75">
      <c r="A27" s="9">
        <f t="shared" si="19"/>
        <v>0</v>
      </c>
      <c r="B27" s="17">
        <f t="shared" si="20"/>
        <v>39</v>
      </c>
      <c r="C27" s="17">
        <f t="shared" si="14"/>
        <v>39</v>
      </c>
      <c r="D27" s="11">
        <f t="shared" si="15"/>
        <v>4.009433962264151</v>
      </c>
      <c r="E27" s="32">
        <f t="shared" si="16"/>
        <v>44.7</v>
      </c>
      <c r="F27" s="32">
        <f t="shared" si="17"/>
        <v>5.811</v>
      </c>
      <c r="G27" s="18">
        <f t="shared" si="18"/>
        <v>1.4493317647058825</v>
      </c>
      <c r="M27" s="24">
        <v>44179</v>
      </c>
      <c r="N27">
        <v>9</v>
      </c>
      <c r="O27" s="17">
        <f t="shared" si="3"/>
        <v>1041</v>
      </c>
      <c r="P27">
        <v>39.1</v>
      </c>
      <c r="Q27">
        <v>2.4</v>
      </c>
      <c r="R27">
        <v>21.8</v>
      </c>
      <c r="S27" s="25">
        <v>6</v>
      </c>
      <c r="T27" s="29">
        <f t="shared" si="4"/>
        <v>2.8695588235294123</v>
      </c>
      <c r="U27" s="11">
        <f t="shared" si="5"/>
        <v>39.1</v>
      </c>
      <c r="V27" s="11">
        <f t="shared" si="6"/>
        <v>36.7</v>
      </c>
      <c r="W27" s="11">
        <f t="shared" si="7"/>
        <v>4.346238130021914</v>
      </c>
      <c r="X27" s="11">
        <f t="shared" si="8"/>
        <v>0.6602396688087001</v>
      </c>
      <c r="Y27" s="30">
        <f t="shared" si="9"/>
        <v>74.90000000000002</v>
      </c>
      <c r="Z27" s="11">
        <f t="shared" si="10"/>
        <v>0.7351396688087002</v>
      </c>
      <c r="AA27" s="31">
        <f t="shared" si="11"/>
        <v>10.291955363321803</v>
      </c>
      <c r="AB27" s="11">
        <f t="shared" si="12"/>
        <v>40.17382352941177</v>
      </c>
      <c r="AC27" s="18">
        <f t="shared" si="13"/>
        <v>30.93046816608997</v>
      </c>
    </row>
    <row r="28" spans="1:29" ht="12.75">
      <c r="A28" s="9">
        <f t="shared" si="19"/>
        <v>0</v>
      </c>
      <c r="B28" s="17">
        <f t="shared" si="20"/>
        <v>40</v>
      </c>
      <c r="C28" s="17">
        <f t="shared" si="14"/>
        <v>40</v>
      </c>
      <c r="D28" s="11">
        <f t="shared" si="15"/>
        <v>3.878748370273794</v>
      </c>
      <c r="E28" s="32">
        <f t="shared" si="16"/>
        <v>48</v>
      </c>
      <c r="F28" s="32">
        <f t="shared" si="17"/>
        <v>6.24</v>
      </c>
      <c r="G28" s="18">
        <f t="shared" si="18"/>
        <v>1.6087663865546218</v>
      </c>
      <c r="M28" s="24">
        <v>44179</v>
      </c>
      <c r="N28">
        <v>22</v>
      </c>
      <c r="O28" s="17">
        <f t="shared" si="3"/>
        <v>1054</v>
      </c>
      <c r="P28">
        <v>39.2</v>
      </c>
      <c r="Q28">
        <v>2.6</v>
      </c>
      <c r="R28">
        <v>21.8</v>
      </c>
      <c r="S28" s="25">
        <v>5.1</v>
      </c>
      <c r="T28" s="29">
        <f t="shared" si="4"/>
        <v>3.0330147058823536</v>
      </c>
      <c r="U28" s="11">
        <f t="shared" si="5"/>
        <v>39.2</v>
      </c>
      <c r="V28" s="11">
        <f t="shared" si="6"/>
        <v>36.6</v>
      </c>
      <c r="W28" s="11">
        <f t="shared" si="7"/>
        <v>4.36217008797654</v>
      </c>
      <c r="X28" s="11">
        <f t="shared" si="8"/>
        <v>0.695299505684627</v>
      </c>
      <c r="Y28" s="30">
        <f t="shared" si="9"/>
        <v>74.20000000000002</v>
      </c>
      <c r="Z28" s="11">
        <f t="shared" si="10"/>
        <v>0.769499505684627</v>
      </c>
      <c r="AA28" s="31">
        <f t="shared" si="11"/>
        <v>10.003493573900151</v>
      </c>
      <c r="AB28" s="11">
        <f t="shared" si="12"/>
        <v>39.429191176470596</v>
      </c>
      <c r="AC28" s="18">
        <f t="shared" si="13"/>
        <v>30.390297602570445</v>
      </c>
    </row>
    <row r="29" spans="1:29" ht="12.75">
      <c r="A29" s="9">
        <f t="shared" si="19"/>
        <v>0</v>
      </c>
      <c r="B29" s="17">
        <f t="shared" si="20"/>
        <v>41</v>
      </c>
      <c r="C29" s="17">
        <f t="shared" si="14"/>
        <v>41</v>
      </c>
      <c r="D29" s="11">
        <f t="shared" si="15"/>
        <v>3.7563131313131315</v>
      </c>
      <c r="E29" s="32">
        <f t="shared" si="16"/>
        <v>51.3</v>
      </c>
      <c r="F29" s="32">
        <f t="shared" si="17"/>
        <v>6.669</v>
      </c>
      <c r="G29" s="18">
        <f t="shared" si="18"/>
        <v>1.7754110924369746</v>
      </c>
      <c r="M29" s="24">
        <v>44180</v>
      </c>
      <c r="N29">
        <v>8</v>
      </c>
      <c r="O29" s="17">
        <f t="shared" si="3"/>
        <v>1064</v>
      </c>
      <c r="P29">
        <v>40.3</v>
      </c>
      <c r="Q29">
        <v>2.3</v>
      </c>
      <c r="R29">
        <v>21.6</v>
      </c>
      <c r="S29" s="25">
        <v>4.3</v>
      </c>
      <c r="T29" s="29">
        <f t="shared" si="4"/>
        <v>3.141985294117647</v>
      </c>
      <c r="U29" s="11">
        <f t="shared" si="5"/>
        <v>40.3</v>
      </c>
      <c r="V29" s="11">
        <f t="shared" si="6"/>
        <v>38</v>
      </c>
      <c r="W29" s="11">
        <f t="shared" si="7"/>
        <v>4.149232914923291</v>
      </c>
      <c r="X29" s="11">
        <f t="shared" si="8"/>
        <v>0.7572448591201186</v>
      </c>
      <c r="Y29" s="30">
        <f t="shared" si="9"/>
        <v>84</v>
      </c>
      <c r="Z29" s="11">
        <f t="shared" si="10"/>
        <v>0.8412448591201186</v>
      </c>
      <c r="AA29" s="31">
        <f t="shared" si="11"/>
        <v>8.412448591201185</v>
      </c>
      <c r="AB29" s="11">
        <f t="shared" si="12"/>
        <v>31.419852941176472</v>
      </c>
      <c r="AC29" s="18">
        <f t="shared" si="13"/>
        <v>23.847404349975285</v>
      </c>
    </row>
    <row r="30" spans="1:29" ht="12.75">
      <c r="A30" s="9">
        <f t="shared" si="19"/>
        <v>0</v>
      </c>
      <c r="B30" s="17">
        <f t="shared" si="20"/>
        <v>42</v>
      </c>
      <c r="C30" s="17">
        <f t="shared" si="14"/>
        <v>42</v>
      </c>
      <c r="D30" s="11">
        <f t="shared" si="15"/>
        <v>3.641370869033048</v>
      </c>
      <c r="E30" s="32">
        <f t="shared" si="16"/>
        <v>54.599999999999994</v>
      </c>
      <c r="F30" s="32">
        <f t="shared" si="17"/>
        <v>7.098</v>
      </c>
      <c r="G30" s="18">
        <f t="shared" si="18"/>
        <v>1.949265882352941</v>
      </c>
      <c r="M30" s="24">
        <v>44180</v>
      </c>
      <c r="N30">
        <v>12</v>
      </c>
      <c r="O30" s="17">
        <f t="shared" si="3"/>
        <v>1068</v>
      </c>
      <c r="P30">
        <v>40.3</v>
      </c>
      <c r="Q30">
        <v>2.1</v>
      </c>
      <c r="R30">
        <v>21.6</v>
      </c>
      <c r="S30" s="25">
        <v>5.5</v>
      </c>
      <c r="T30" s="29">
        <f t="shared" si="4"/>
        <v>2.924044117647059</v>
      </c>
      <c r="U30" s="11">
        <f t="shared" si="5"/>
        <v>40.3</v>
      </c>
      <c r="V30" s="11">
        <f t="shared" si="6"/>
        <v>38.199999999999996</v>
      </c>
      <c r="W30" s="11">
        <f t="shared" si="7"/>
        <v>4.120498614958449</v>
      </c>
      <c r="X30" s="11">
        <f t="shared" si="8"/>
        <v>0.7096335640138408</v>
      </c>
      <c r="Y30" s="30">
        <f t="shared" si="9"/>
        <v>85.39999999999998</v>
      </c>
      <c r="Z30" s="11">
        <f t="shared" si="10"/>
        <v>0.7950335640138408</v>
      </c>
      <c r="AA30" s="31">
        <f t="shared" si="11"/>
        <v>3.1801342560553634</v>
      </c>
      <c r="AB30" s="11">
        <f t="shared" si="12"/>
        <v>11.696176470588236</v>
      </c>
      <c r="AC30" s="18">
        <f t="shared" si="13"/>
        <v>8.857642214532873</v>
      </c>
    </row>
    <row r="31" spans="1:29" ht="12.75">
      <c r="A31" s="9">
        <f t="shared" si="19"/>
        <v>0</v>
      </c>
      <c r="B31" s="17">
        <f t="shared" si="20"/>
        <v>43</v>
      </c>
      <c r="C31" s="17">
        <f t="shared" si="14"/>
        <v>43</v>
      </c>
      <c r="D31" s="11">
        <f t="shared" si="15"/>
        <v>3.5332541567695963</v>
      </c>
      <c r="E31" s="32">
        <f t="shared" si="16"/>
        <v>57.9</v>
      </c>
      <c r="F31" s="32">
        <f t="shared" si="17"/>
        <v>7.526999999999999</v>
      </c>
      <c r="G31" s="18">
        <f t="shared" si="18"/>
        <v>2.130330756302521</v>
      </c>
      <c r="M31" s="24">
        <v>44180</v>
      </c>
      <c r="N31">
        <v>15</v>
      </c>
      <c r="O31" s="17">
        <f t="shared" si="3"/>
        <v>1071</v>
      </c>
      <c r="P31">
        <v>41.4</v>
      </c>
      <c r="Q31">
        <v>2</v>
      </c>
      <c r="R31">
        <v>21.7</v>
      </c>
      <c r="S31" s="25">
        <v>5.3</v>
      </c>
      <c r="T31" s="29">
        <f t="shared" si="4"/>
        <v>2.9785294117647054</v>
      </c>
      <c r="U31" s="11">
        <f t="shared" si="5"/>
        <v>41.4</v>
      </c>
      <c r="V31" s="11">
        <f t="shared" si="6"/>
        <v>39.4</v>
      </c>
      <c r="W31" s="11">
        <f t="shared" si="7"/>
        <v>3.956117021276596</v>
      </c>
      <c r="X31" s="11">
        <f t="shared" si="8"/>
        <v>0.7528921403855658</v>
      </c>
      <c r="Y31" s="30">
        <f t="shared" si="9"/>
        <v>93.79999999999998</v>
      </c>
      <c r="Z31" s="11">
        <f t="shared" si="10"/>
        <v>0.8466921403855658</v>
      </c>
      <c r="AA31" s="31">
        <f t="shared" si="11"/>
        <v>2.5400764211566975</v>
      </c>
      <c r="AB31" s="11">
        <f t="shared" si="12"/>
        <v>8.935588235294116</v>
      </c>
      <c r="AC31" s="18">
        <f t="shared" si="13"/>
        <v>6.676911814137418</v>
      </c>
    </row>
    <row r="32" spans="1:29" ht="12.75">
      <c r="A32" s="9">
        <f t="shared" si="19"/>
        <v>0</v>
      </c>
      <c r="B32" s="17">
        <f t="shared" si="20"/>
        <v>44</v>
      </c>
      <c r="C32" s="17">
        <f t="shared" si="14"/>
        <v>44</v>
      </c>
      <c r="D32" s="11">
        <f t="shared" si="15"/>
        <v>3.431372549019608</v>
      </c>
      <c r="E32" s="32">
        <f t="shared" si="16"/>
        <v>61.199999999999996</v>
      </c>
      <c r="F32" s="32">
        <f t="shared" si="17"/>
        <v>7.9559999999999995</v>
      </c>
      <c r="G32" s="18">
        <f t="shared" si="18"/>
        <v>2.318605714285714</v>
      </c>
      <c r="M32" s="24">
        <v>44184</v>
      </c>
      <c r="N32">
        <v>11</v>
      </c>
      <c r="O32" s="17">
        <f t="shared" si="3"/>
        <v>1163</v>
      </c>
      <c r="P32">
        <v>41.4</v>
      </c>
      <c r="Q32">
        <v>1.7</v>
      </c>
      <c r="R32">
        <v>21.7</v>
      </c>
      <c r="S32" s="25">
        <v>3.9</v>
      </c>
      <c r="T32" s="29">
        <f t="shared" si="4"/>
        <v>3.232794117647059</v>
      </c>
      <c r="U32" s="11">
        <f t="shared" si="5"/>
        <v>41.4</v>
      </c>
      <c r="V32" s="11">
        <f t="shared" si="6"/>
        <v>39.699999999999996</v>
      </c>
      <c r="W32" s="11">
        <f t="shared" si="7"/>
        <v>3.91705069124424</v>
      </c>
      <c r="X32" s="11">
        <f t="shared" si="8"/>
        <v>0.8253133217993078</v>
      </c>
      <c r="Y32" s="30">
        <f t="shared" si="9"/>
        <v>95.89999999999998</v>
      </c>
      <c r="Z32" s="11">
        <f t="shared" si="10"/>
        <v>0.9212133217993078</v>
      </c>
      <c r="AA32" s="31">
        <f t="shared" si="11"/>
        <v>84.75162560553632</v>
      </c>
      <c r="AB32" s="11">
        <f t="shared" si="12"/>
        <v>297.41705882352943</v>
      </c>
      <c r="AC32" s="18">
        <f t="shared" si="13"/>
        <v>221.48823321799307</v>
      </c>
    </row>
    <row r="33" spans="1:29" ht="12.75">
      <c r="A33" s="9">
        <f t="shared" si="19"/>
        <v>0</v>
      </c>
      <c r="B33" s="17">
        <f t="shared" si="20"/>
        <v>45</v>
      </c>
      <c r="C33" s="17">
        <f t="shared" si="14"/>
        <v>45</v>
      </c>
      <c r="D33" s="11">
        <f t="shared" si="15"/>
        <v>3.335201793721973</v>
      </c>
      <c r="E33" s="32">
        <f t="shared" si="16"/>
        <v>64.5</v>
      </c>
      <c r="F33" s="32">
        <f t="shared" si="17"/>
        <v>8.385</v>
      </c>
      <c r="G33" s="18">
        <f t="shared" si="18"/>
        <v>2.514090756302521</v>
      </c>
      <c r="M33" s="24">
        <v>44186</v>
      </c>
      <c r="N33">
        <v>13</v>
      </c>
      <c r="O33" s="17">
        <f t="shared" si="3"/>
        <v>1213</v>
      </c>
      <c r="P33">
        <v>40.3</v>
      </c>
      <c r="Q33">
        <v>2.1</v>
      </c>
      <c r="R33">
        <v>21.8</v>
      </c>
      <c r="S33" s="25">
        <v>5.7</v>
      </c>
      <c r="T33" s="29">
        <f t="shared" si="4"/>
        <v>2.924044117647059</v>
      </c>
      <c r="U33" s="11">
        <f t="shared" si="5"/>
        <v>40.3</v>
      </c>
      <c r="V33" s="11">
        <f t="shared" si="6"/>
        <v>38.199999999999996</v>
      </c>
      <c r="W33" s="11">
        <f t="shared" si="7"/>
        <v>4.120498614958449</v>
      </c>
      <c r="X33" s="11">
        <f t="shared" si="8"/>
        <v>0.7096335640138408</v>
      </c>
      <c r="Y33" s="30">
        <f t="shared" si="9"/>
        <v>85.39999999999998</v>
      </c>
      <c r="Z33" s="11">
        <f t="shared" si="10"/>
        <v>0.7950335640138408</v>
      </c>
      <c r="AA33" s="31">
        <f t="shared" si="11"/>
        <v>39.75167820069204</v>
      </c>
      <c r="AB33" s="11">
        <f t="shared" si="12"/>
        <v>146.20220588235296</v>
      </c>
      <c r="AC33" s="18">
        <f t="shared" si="13"/>
        <v>110.72052768166091</v>
      </c>
    </row>
    <row r="34" spans="1:29" ht="12.75">
      <c r="A34" s="9">
        <f t="shared" si="19"/>
        <v>0</v>
      </c>
      <c r="B34" s="17">
        <f t="shared" si="20"/>
        <v>46</v>
      </c>
      <c r="C34" s="17">
        <f t="shared" si="14"/>
        <v>46</v>
      </c>
      <c r="D34" s="11">
        <f t="shared" si="15"/>
        <v>3.2442748091603053</v>
      </c>
      <c r="E34" s="32">
        <f t="shared" si="16"/>
        <v>67.8</v>
      </c>
      <c r="F34" s="32">
        <f t="shared" si="17"/>
        <v>8.814</v>
      </c>
      <c r="G34" s="18">
        <f t="shared" si="18"/>
        <v>2.716785882352941</v>
      </c>
      <c r="M34" s="24">
        <v>44192</v>
      </c>
      <c r="N34">
        <v>13</v>
      </c>
      <c r="O34" s="17">
        <f t="shared" si="3"/>
        <v>1357</v>
      </c>
      <c r="P34">
        <v>42.7</v>
      </c>
      <c r="Q34">
        <v>1.9</v>
      </c>
      <c r="R34">
        <v>22.1</v>
      </c>
      <c r="S34" s="25">
        <v>-0.3</v>
      </c>
      <c r="T34" s="29">
        <f t="shared" si="4"/>
        <v>4.068235294117647</v>
      </c>
      <c r="U34" s="11">
        <f t="shared" si="5"/>
        <v>42.7</v>
      </c>
      <c r="V34" s="11">
        <f t="shared" si="6"/>
        <v>40.800000000000004</v>
      </c>
      <c r="W34" s="11">
        <f t="shared" si="7"/>
        <v>3.7801778907242687</v>
      </c>
      <c r="X34" s="11">
        <f t="shared" si="8"/>
        <v>1.0762020761245676</v>
      </c>
      <c r="Y34" s="30">
        <f t="shared" si="9"/>
        <v>100</v>
      </c>
      <c r="Z34" s="11">
        <f t="shared" si="10"/>
        <v>1.1762020761245677</v>
      </c>
      <c r="AA34" s="31">
        <f t="shared" si="11"/>
        <v>169.37309896193776</v>
      </c>
      <c r="AB34" s="11">
        <f t="shared" si="12"/>
        <v>585.8258823529412</v>
      </c>
      <c r="AC34" s="18">
        <f t="shared" si="13"/>
        <v>430.85278339100347</v>
      </c>
    </row>
    <row r="35" spans="1:29" ht="12.75">
      <c r="A35" s="9">
        <f t="shared" si="19"/>
        <v>0</v>
      </c>
      <c r="B35" s="17">
        <f t="shared" si="20"/>
        <v>47</v>
      </c>
      <c r="C35" s="17">
        <f t="shared" si="14"/>
        <v>47</v>
      </c>
      <c r="D35" s="11">
        <f t="shared" si="15"/>
        <v>3.1581740976645434</v>
      </c>
      <c r="E35" s="32">
        <f t="shared" si="16"/>
        <v>71.1</v>
      </c>
      <c r="F35" s="32">
        <f t="shared" si="17"/>
        <v>9.243</v>
      </c>
      <c r="G35" s="18">
        <f t="shared" si="18"/>
        <v>2.926691092436975</v>
      </c>
      <c r="M35" s="24">
        <v>44193</v>
      </c>
      <c r="N35">
        <v>8</v>
      </c>
      <c r="O35" s="17">
        <f t="shared" si="3"/>
        <v>1376</v>
      </c>
      <c r="P35">
        <v>43.7</v>
      </c>
      <c r="Q35">
        <v>1.2</v>
      </c>
      <c r="R35">
        <v>21.3</v>
      </c>
      <c r="S35" s="25">
        <v>1.8</v>
      </c>
      <c r="T35" s="29">
        <f t="shared" si="4"/>
        <v>3.5415441176470583</v>
      </c>
      <c r="U35" s="11">
        <f t="shared" si="5"/>
        <v>43.7</v>
      </c>
      <c r="V35" s="11">
        <f t="shared" si="6"/>
        <v>42.5</v>
      </c>
      <c r="W35" s="11">
        <f t="shared" si="7"/>
        <v>3.586497890295359</v>
      </c>
      <c r="X35" s="11">
        <f t="shared" si="8"/>
        <v>0.9874658304498268</v>
      </c>
      <c r="Y35" s="30">
        <f t="shared" si="9"/>
        <v>100</v>
      </c>
      <c r="Z35" s="11">
        <f t="shared" si="10"/>
        <v>1.0874658304498268</v>
      </c>
      <c r="AA35" s="31">
        <f t="shared" si="11"/>
        <v>20.66185077854671</v>
      </c>
      <c r="AB35" s="11">
        <f t="shared" si="12"/>
        <v>67.28933823529411</v>
      </c>
      <c r="AC35" s="18">
        <f t="shared" si="13"/>
        <v>48.527487456747394</v>
      </c>
    </row>
    <row r="36" spans="1:29" ht="12.75">
      <c r="A36" s="9">
        <f t="shared" si="19"/>
        <v>0</v>
      </c>
      <c r="B36" s="17">
        <f t="shared" si="20"/>
        <v>48</v>
      </c>
      <c r="C36" s="17">
        <f t="shared" si="14"/>
        <v>48</v>
      </c>
      <c r="D36" s="11">
        <f t="shared" si="15"/>
        <v>3.076525336091003</v>
      </c>
      <c r="E36" s="32">
        <f t="shared" si="16"/>
        <v>74.4</v>
      </c>
      <c r="F36" s="32">
        <f t="shared" si="17"/>
        <v>9.672</v>
      </c>
      <c r="G36" s="18">
        <f t="shared" si="18"/>
        <v>3.1438063865546217</v>
      </c>
      <c r="M36" s="24">
        <v>44197</v>
      </c>
      <c r="N36">
        <v>16</v>
      </c>
      <c r="O36" s="17">
        <f t="shared" si="3"/>
        <v>1480</v>
      </c>
      <c r="P36">
        <v>42.5</v>
      </c>
      <c r="Q36">
        <v>1.5</v>
      </c>
      <c r="R36">
        <v>22</v>
      </c>
      <c r="S36" s="25">
        <v>1.9</v>
      </c>
      <c r="T36" s="29">
        <f t="shared" si="4"/>
        <v>3.650514705882353</v>
      </c>
      <c r="U36" s="11">
        <f t="shared" si="5"/>
        <v>42.5</v>
      </c>
      <c r="V36" s="11">
        <f t="shared" si="6"/>
        <v>41</v>
      </c>
      <c r="W36" s="11">
        <f t="shared" si="7"/>
        <v>3.7563131313131315</v>
      </c>
      <c r="X36" s="11">
        <f t="shared" si="8"/>
        <v>0.9718345032130499</v>
      </c>
      <c r="Y36" s="30">
        <f t="shared" si="9"/>
        <v>100</v>
      </c>
      <c r="Z36" s="11">
        <f t="shared" si="10"/>
        <v>1.0718345032130498</v>
      </c>
      <c r="AA36" s="31">
        <f t="shared" si="11"/>
        <v>111.47078833415719</v>
      </c>
      <c r="AB36" s="11">
        <f t="shared" si="12"/>
        <v>379.6535294117647</v>
      </c>
      <c r="AC36" s="18">
        <f t="shared" si="13"/>
        <v>278.5827410776075</v>
      </c>
    </row>
    <row r="37" spans="1:29" ht="12.75">
      <c r="A37" s="9">
        <f t="shared" si="19"/>
        <v>0</v>
      </c>
      <c r="B37" s="17">
        <f t="shared" si="20"/>
        <v>49</v>
      </c>
      <c r="C37" s="17">
        <f t="shared" si="14"/>
        <v>49</v>
      </c>
      <c r="D37" s="11">
        <f t="shared" si="15"/>
        <v>2.998991935483871</v>
      </c>
      <c r="E37" s="32">
        <f t="shared" si="16"/>
        <v>77.69999999999999</v>
      </c>
      <c r="F37" s="32">
        <f t="shared" si="17"/>
        <v>10.100999999999999</v>
      </c>
      <c r="G37" s="18">
        <f t="shared" si="18"/>
        <v>3.368131764705882</v>
      </c>
      <c r="M37" s="24">
        <v>44197</v>
      </c>
      <c r="N37">
        <v>19</v>
      </c>
      <c r="O37" s="17">
        <f t="shared" si="3"/>
        <v>1483</v>
      </c>
      <c r="P37">
        <v>41.7</v>
      </c>
      <c r="Q37">
        <v>1.4</v>
      </c>
      <c r="R37">
        <v>22</v>
      </c>
      <c r="S37" s="25">
        <v>-0.6</v>
      </c>
      <c r="T37" s="29">
        <f t="shared" si="4"/>
        <v>4.104558823529413</v>
      </c>
      <c r="U37" s="11">
        <f t="shared" si="5"/>
        <v>41.7</v>
      </c>
      <c r="V37" s="11">
        <f t="shared" si="6"/>
        <v>40.300000000000004</v>
      </c>
      <c r="W37" s="11">
        <f t="shared" si="7"/>
        <v>3.8411878631375074</v>
      </c>
      <c r="X37" s="11">
        <f t="shared" si="8"/>
        <v>1.0685649777558086</v>
      </c>
      <c r="Y37" s="30">
        <f t="shared" si="9"/>
        <v>100</v>
      </c>
      <c r="Z37" s="11">
        <f t="shared" si="10"/>
        <v>1.1685649777558087</v>
      </c>
      <c r="AA37" s="31">
        <f t="shared" si="11"/>
        <v>3.505694933267426</v>
      </c>
      <c r="AB37" s="11">
        <f t="shared" si="12"/>
        <v>12.313676470588238</v>
      </c>
      <c r="AC37" s="18">
        <f t="shared" si="13"/>
        <v>9.107981537320812</v>
      </c>
    </row>
    <row r="38" spans="1:29" ht="12.75">
      <c r="A38" s="9">
        <f t="shared" si="19"/>
        <v>0</v>
      </c>
      <c r="B38" s="17">
        <f t="shared" si="20"/>
        <v>50</v>
      </c>
      <c r="C38" s="17">
        <f t="shared" si="14"/>
        <v>50</v>
      </c>
      <c r="D38" s="11">
        <f t="shared" si="15"/>
        <v>2.9252704031465093</v>
      </c>
      <c r="E38" s="32">
        <f t="shared" si="16"/>
        <v>81</v>
      </c>
      <c r="F38" s="32">
        <f t="shared" si="17"/>
        <v>10.53</v>
      </c>
      <c r="G38" s="18">
        <f t="shared" si="18"/>
        <v>3.599667226890756</v>
      </c>
      <c r="M38" s="24">
        <v>44199</v>
      </c>
      <c r="N38">
        <v>14</v>
      </c>
      <c r="O38" s="17">
        <f t="shared" si="3"/>
        <v>1526</v>
      </c>
      <c r="P38">
        <v>42.7</v>
      </c>
      <c r="Q38">
        <v>0.5</v>
      </c>
      <c r="R38">
        <v>22</v>
      </c>
      <c r="S38" s="25">
        <v>2.8</v>
      </c>
      <c r="T38" s="29">
        <f t="shared" si="4"/>
        <v>3.4870588235294115</v>
      </c>
      <c r="U38" s="11">
        <f t="shared" si="5"/>
        <v>42.7</v>
      </c>
      <c r="V38" s="11">
        <f t="shared" si="6"/>
        <v>42.2</v>
      </c>
      <c r="W38" s="11">
        <f t="shared" si="7"/>
        <v>3.6192214111922136</v>
      </c>
      <c r="X38" s="11">
        <f t="shared" si="8"/>
        <v>0.9634831438457737</v>
      </c>
      <c r="Y38" s="30">
        <f t="shared" si="9"/>
        <v>100</v>
      </c>
      <c r="Z38" s="11">
        <f t="shared" si="10"/>
        <v>1.0634831438457737</v>
      </c>
      <c r="AA38" s="31">
        <f t="shared" si="11"/>
        <v>45.72977518536827</v>
      </c>
      <c r="AB38" s="11">
        <f t="shared" si="12"/>
        <v>149.9435294117647</v>
      </c>
      <c r="AC38" s="18">
        <f t="shared" si="13"/>
        <v>108.51375422639643</v>
      </c>
    </row>
    <row r="39" spans="1:29" ht="12.75">
      <c r="A39" s="9">
        <f t="shared" si="19"/>
        <v>0</v>
      </c>
      <c r="B39" s="17">
        <f t="shared" si="20"/>
        <v>51</v>
      </c>
      <c r="C39" s="17">
        <f t="shared" si="14"/>
        <v>51</v>
      </c>
      <c r="D39" s="11">
        <f t="shared" si="15"/>
        <v>2.8550863723608444</v>
      </c>
      <c r="E39" s="32">
        <f t="shared" si="16"/>
        <v>84.3</v>
      </c>
      <c r="F39" s="32">
        <f t="shared" si="17"/>
        <v>10.958999999999998</v>
      </c>
      <c r="G39" s="18">
        <f t="shared" si="18"/>
        <v>3.8384127731092432</v>
      </c>
      <c r="M39" s="24">
        <v>44200</v>
      </c>
      <c r="N39">
        <v>22</v>
      </c>
      <c r="O39" s="17">
        <f t="shared" si="3"/>
        <v>1558</v>
      </c>
      <c r="P39">
        <v>38.1</v>
      </c>
      <c r="Q39">
        <v>1.7</v>
      </c>
      <c r="R39">
        <v>22.1</v>
      </c>
      <c r="S39" s="25">
        <v>2.4</v>
      </c>
      <c r="T39" s="29">
        <f t="shared" si="4"/>
        <v>3.5778676470588238</v>
      </c>
      <c r="U39" s="11">
        <f t="shared" si="5"/>
        <v>38.1</v>
      </c>
      <c r="V39" s="11">
        <f t="shared" si="6"/>
        <v>36.4</v>
      </c>
      <c r="W39" s="11">
        <f t="shared" si="7"/>
        <v>4.394387001477106</v>
      </c>
      <c r="X39" s="11">
        <f t="shared" si="8"/>
        <v>0.814190385565991</v>
      </c>
      <c r="Y39" s="30">
        <f t="shared" si="9"/>
        <v>72.79999999999998</v>
      </c>
      <c r="Z39" s="11">
        <f t="shared" si="10"/>
        <v>0.886990385565991</v>
      </c>
      <c r="AA39" s="31">
        <f t="shared" si="11"/>
        <v>28.38369233811171</v>
      </c>
      <c r="AB39" s="11">
        <f t="shared" si="12"/>
        <v>114.49176470588236</v>
      </c>
      <c r="AC39" s="18">
        <f t="shared" si="13"/>
        <v>88.43767236777065</v>
      </c>
    </row>
    <row r="40" spans="1:29" ht="12.75">
      <c r="A40" s="9">
        <f t="shared" si="19"/>
        <v>0</v>
      </c>
      <c r="B40" s="17">
        <f t="shared" si="20"/>
        <v>52</v>
      </c>
      <c r="C40" s="17">
        <f t="shared" si="14"/>
        <v>52</v>
      </c>
      <c r="D40" s="11">
        <f t="shared" si="15"/>
        <v>2.788191190253046</v>
      </c>
      <c r="E40" s="32">
        <f t="shared" si="16"/>
        <v>87.6</v>
      </c>
      <c r="F40" s="32">
        <f t="shared" si="17"/>
        <v>11.388</v>
      </c>
      <c r="G40" s="18">
        <f t="shared" si="18"/>
        <v>4.084368403361344</v>
      </c>
      <c r="M40" s="24">
        <v>44201</v>
      </c>
      <c r="N40">
        <v>0</v>
      </c>
      <c r="O40" s="17">
        <f t="shared" si="3"/>
        <v>1560</v>
      </c>
      <c r="P40">
        <v>40.6</v>
      </c>
      <c r="Q40">
        <v>1.5</v>
      </c>
      <c r="R40">
        <v>22</v>
      </c>
      <c r="S40" s="25">
        <v>1.7</v>
      </c>
      <c r="T40" s="29">
        <f t="shared" si="4"/>
        <v>3.686838235294118</v>
      </c>
      <c r="U40" s="11">
        <f t="shared" si="5"/>
        <v>40.6</v>
      </c>
      <c r="V40" s="11">
        <f t="shared" si="6"/>
        <v>39.1</v>
      </c>
      <c r="W40" s="11">
        <f t="shared" si="7"/>
        <v>3.9959704499664204</v>
      </c>
      <c r="X40" s="11">
        <f t="shared" si="8"/>
        <v>0.9226390138408305</v>
      </c>
      <c r="Y40" s="30">
        <f t="shared" si="9"/>
        <v>91.70000000000002</v>
      </c>
      <c r="Z40" s="11">
        <f t="shared" si="10"/>
        <v>1.0143390138408306</v>
      </c>
      <c r="AA40" s="31">
        <f t="shared" si="11"/>
        <v>2.028678027681661</v>
      </c>
      <c r="AB40" s="11">
        <f t="shared" si="12"/>
        <v>7.373676470588236</v>
      </c>
      <c r="AC40" s="18">
        <f t="shared" si="13"/>
        <v>5.528398442906575</v>
      </c>
    </row>
    <row r="41" spans="1:29" ht="12.75">
      <c r="A41" s="9">
        <f t="shared" si="19"/>
        <v>0</v>
      </c>
      <c r="B41" s="17">
        <f t="shared" si="20"/>
        <v>53</v>
      </c>
      <c r="C41" s="17">
        <f t="shared" si="14"/>
        <v>53</v>
      </c>
      <c r="D41" s="11">
        <f t="shared" si="15"/>
        <v>2.7243589743589745</v>
      </c>
      <c r="E41" s="32">
        <f t="shared" si="16"/>
        <v>90.89999999999999</v>
      </c>
      <c r="F41" s="32">
        <f t="shared" si="17"/>
        <v>11.816999999999998</v>
      </c>
      <c r="G41" s="18">
        <f t="shared" si="18"/>
        <v>4.337534117647058</v>
      </c>
      <c r="M41" s="24">
        <v>44201</v>
      </c>
      <c r="N41">
        <v>9</v>
      </c>
      <c r="O41" s="17">
        <f t="shared" si="3"/>
        <v>1569</v>
      </c>
      <c r="P41">
        <v>41.6</v>
      </c>
      <c r="Q41">
        <v>1.1</v>
      </c>
      <c r="R41">
        <v>22</v>
      </c>
      <c r="S41" s="25">
        <v>0.8</v>
      </c>
      <c r="T41" s="29">
        <f t="shared" si="4"/>
        <v>3.850294117647059</v>
      </c>
      <c r="U41" s="11">
        <f t="shared" si="5"/>
        <v>41.6</v>
      </c>
      <c r="V41" s="11">
        <f t="shared" si="6"/>
        <v>40.5</v>
      </c>
      <c r="W41" s="11">
        <f t="shared" si="7"/>
        <v>3.816549069916613</v>
      </c>
      <c r="X41" s="11">
        <f t="shared" si="8"/>
        <v>1.0088417696490362</v>
      </c>
      <c r="Y41" s="30">
        <f t="shared" si="9"/>
        <v>100</v>
      </c>
      <c r="Z41" s="11">
        <f t="shared" si="10"/>
        <v>1.1088417696490362</v>
      </c>
      <c r="AA41" s="31">
        <f t="shared" si="11"/>
        <v>9.979575926841326</v>
      </c>
      <c r="AB41" s="11">
        <f t="shared" si="12"/>
        <v>34.65264705882353</v>
      </c>
      <c r="AC41" s="18">
        <f t="shared" si="13"/>
        <v>25.573071131982203</v>
      </c>
    </row>
    <row r="42" spans="1:29" ht="12.75">
      <c r="A42" s="9">
        <f t="shared" si="19"/>
        <v>0</v>
      </c>
      <c r="B42" s="17">
        <f t="shared" si="20"/>
        <v>54</v>
      </c>
      <c r="C42" s="17">
        <f t="shared" si="14"/>
        <v>54</v>
      </c>
      <c r="D42" s="11">
        <f t="shared" si="15"/>
        <v>2.663384064458371</v>
      </c>
      <c r="E42" s="32">
        <f t="shared" si="16"/>
        <v>94.19999999999999</v>
      </c>
      <c r="F42" s="32">
        <f t="shared" si="17"/>
        <v>12.245999999999999</v>
      </c>
      <c r="G42" s="18">
        <f t="shared" si="18"/>
        <v>4.597909915966386</v>
      </c>
      <c r="M42" s="24">
        <v>44201</v>
      </c>
      <c r="N42">
        <v>16</v>
      </c>
      <c r="O42" s="17">
        <f t="shared" si="3"/>
        <v>1576</v>
      </c>
      <c r="P42">
        <v>41.8</v>
      </c>
      <c r="Q42">
        <v>1.1</v>
      </c>
      <c r="R42">
        <v>22</v>
      </c>
      <c r="S42" s="25">
        <v>0.3</v>
      </c>
      <c r="T42" s="29">
        <f t="shared" si="4"/>
        <v>3.94110294117647</v>
      </c>
      <c r="U42" s="11">
        <f t="shared" si="5"/>
        <v>41.8</v>
      </c>
      <c r="V42" s="11">
        <f t="shared" si="6"/>
        <v>40.699999999999996</v>
      </c>
      <c r="W42" s="11">
        <f t="shared" si="7"/>
        <v>3.792224346717655</v>
      </c>
      <c r="X42" s="11">
        <f t="shared" si="8"/>
        <v>1.0392589100346017</v>
      </c>
      <c r="Y42" s="30">
        <f t="shared" si="9"/>
        <v>100</v>
      </c>
      <c r="Z42" s="11">
        <f t="shared" si="10"/>
        <v>1.1392589100346018</v>
      </c>
      <c r="AA42" s="31">
        <f t="shared" si="11"/>
        <v>7.974812370242212</v>
      </c>
      <c r="AB42" s="11">
        <f t="shared" si="12"/>
        <v>27.58772058823529</v>
      </c>
      <c r="AC42" s="18">
        <f t="shared" si="13"/>
        <v>20.312908217993076</v>
      </c>
    </row>
    <row r="43" spans="1:29" ht="12.75">
      <c r="A43" s="9">
        <f t="shared" si="19"/>
        <v>0</v>
      </c>
      <c r="B43" s="17">
        <f t="shared" si="20"/>
        <v>55</v>
      </c>
      <c r="C43" s="17">
        <f t="shared" si="14"/>
        <v>55</v>
      </c>
      <c r="D43" s="11">
        <f t="shared" si="15"/>
        <v>2.60507880910683</v>
      </c>
      <c r="E43" s="32">
        <f t="shared" si="16"/>
        <v>100</v>
      </c>
      <c r="F43" s="32">
        <f t="shared" si="17"/>
        <v>13</v>
      </c>
      <c r="G43" s="18">
        <f t="shared" si="18"/>
        <v>4.990252100840336</v>
      </c>
      <c r="M43" s="24">
        <v>44206</v>
      </c>
      <c r="N43">
        <v>0</v>
      </c>
      <c r="O43" s="17">
        <f t="shared" si="3"/>
        <v>1680</v>
      </c>
      <c r="P43">
        <v>42.7</v>
      </c>
      <c r="Q43">
        <v>0.6</v>
      </c>
      <c r="R43">
        <v>21.8</v>
      </c>
      <c r="S43" s="25">
        <v>-1.1</v>
      </c>
      <c r="T43" s="29">
        <f t="shared" si="4"/>
        <v>4.159044117647059</v>
      </c>
      <c r="U43" s="11">
        <f t="shared" si="5"/>
        <v>42.7</v>
      </c>
      <c r="V43" s="11">
        <f t="shared" si="6"/>
        <v>42.1</v>
      </c>
      <c r="W43" s="11">
        <f t="shared" si="7"/>
        <v>3.63026235509457</v>
      </c>
      <c r="X43" s="11">
        <f t="shared" si="8"/>
        <v>1.1456593796342067</v>
      </c>
      <c r="Y43" s="30">
        <f t="shared" si="9"/>
        <v>100</v>
      </c>
      <c r="Z43" s="11">
        <f t="shared" si="10"/>
        <v>1.2456593796342068</v>
      </c>
      <c r="AA43" s="31">
        <f t="shared" si="11"/>
        <v>129.5485754819575</v>
      </c>
      <c r="AB43" s="11">
        <f t="shared" si="12"/>
        <v>432.54058823529414</v>
      </c>
      <c r="AC43" s="18">
        <f t="shared" si="13"/>
        <v>313.3920127533366</v>
      </c>
    </row>
    <row r="44" spans="1:29" ht="12.75">
      <c r="A44" s="9">
        <f t="shared" si="19"/>
        <v>0</v>
      </c>
      <c r="B44" s="17">
        <f t="shared" si="20"/>
        <v>56</v>
      </c>
      <c r="C44" s="17">
        <f t="shared" si="14"/>
        <v>56</v>
      </c>
      <c r="D44" s="11">
        <f t="shared" si="15"/>
        <v>2.5492716366752357</v>
      </c>
      <c r="E44" s="32">
        <f t="shared" si="16"/>
        <v>100</v>
      </c>
      <c r="F44" s="32">
        <f t="shared" si="17"/>
        <v>13</v>
      </c>
      <c r="G44" s="18">
        <f t="shared" si="18"/>
        <v>5.099495798319327</v>
      </c>
      <c r="M44" s="24">
        <v>44206</v>
      </c>
      <c r="N44">
        <v>12</v>
      </c>
      <c r="O44" s="17">
        <f t="shared" si="3"/>
        <v>1692</v>
      </c>
      <c r="P44">
        <v>42.8</v>
      </c>
      <c r="Q44">
        <v>0.6</v>
      </c>
      <c r="R44">
        <v>22</v>
      </c>
      <c r="S44" s="25">
        <v>0</v>
      </c>
      <c r="T44" s="29">
        <f t="shared" si="4"/>
        <v>3.9955882352941177</v>
      </c>
      <c r="U44" s="11">
        <f t="shared" si="5"/>
        <v>42.8</v>
      </c>
      <c r="V44" s="11">
        <f t="shared" si="6"/>
        <v>42.199999999999996</v>
      </c>
      <c r="W44" s="11">
        <f t="shared" si="7"/>
        <v>3.6192214111922145</v>
      </c>
      <c r="X44" s="11">
        <f t="shared" si="8"/>
        <v>1.1039911023232822</v>
      </c>
      <c r="Y44" s="30">
        <f t="shared" si="9"/>
        <v>100</v>
      </c>
      <c r="Z44" s="11">
        <f t="shared" si="10"/>
        <v>1.2039911023232823</v>
      </c>
      <c r="AA44" s="31">
        <f t="shared" si="11"/>
        <v>14.447893227879387</v>
      </c>
      <c r="AB44" s="11">
        <f t="shared" si="12"/>
        <v>47.94705882352941</v>
      </c>
      <c r="AC44" s="18">
        <f t="shared" si="13"/>
        <v>34.69916559565002</v>
      </c>
    </row>
    <row r="45" spans="1:29" ht="12.75">
      <c r="A45" s="9">
        <f t="shared" si="19"/>
        <v>0</v>
      </c>
      <c r="B45" s="17">
        <f t="shared" si="20"/>
        <v>57</v>
      </c>
      <c r="C45" s="17">
        <f t="shared" si="14"/>
        <v>57</v>
      </c>
      <c r="D45" s="11">
        <f t="shared" si="15"/>
        <v>2.495805369127517</v>
      </c>
      <c r="E45" s="32">
        <f t="shared" si="16"/>
        <v>100</v>
      </c>
      <c r="F45" s="32">
        <f t="shared" si="17"/>
        <v>13</v>
      </c>
      <c r="G45" s="18">
        <f t="shared" si="18"/>
        <v>5.208739495798319</v>
      </c>
      <c r="M45" s="24">
        <v>44207</v>
      </c>
      <c r="N45">
        <v>8</v>
      </c>
      <c r="O45" s="17">
        <f t="shared" si="3"/>
        <v>1712</v>
      </c>
      <c r="P45">
        <v>44.7</v>
      </c>
      <c r="Q45">
        <v>0.5</v>
      </c>
      <c r="R45">
        <v>21.8</v>
      </c>
      <c r="S45" s="25">
        <v>-2.5</v>
      </c>
      <c r="T45" s="29">
        <f t="shared" si="4"/>
        <v>4.4133088235294125</v>
      </c>
      <c r="U45" s="11">
        <f t="shared" si="5"/>
        <v>44.7</v>
      </c>
      <c r="V45" s="11">
        <f t="shared" si="6"/>
        <v>44.2</v>
      </c>
      <c r="W45" s="11">
        <f t="shared" si="7"/>
        <v>3.411697247706422</v>
      </c>
      <c r="X45" s="11">
        <f t="shared" si="8"/>
        <v>1.293581611468117</v>
      </c>
      <c r="Y45" s="30">
        <f t="shared" si="9"/>
        <v>100</v>
      </c>
      <c r="Z45" s="11">
        <f t="shared" si="10"/>
        <v>1.393581611468117</v>
      </c>
      <c r="AA45" s="31">
        <f t="shared" si="11"/>
        <v>27.87163222936234</v>
      </c>
      <c r="AB45" s="11">
        <f t="shared" si="12"/>
        <v>88.26617647058825</v>
      </c>
      <c r="AC45" s="18">
        <f t="shared" si="13"/>
        <v>62.394544241225915</v>
      </c>
    </row>
    <row r="46" spans="1:29" ht="12.75">
      <c r="A46" s="9">
        <f t="shared" si="19"/>
        <v>0</v>
      </c>
      <c r="B46" s="17">
        <f t="shared" si="20"/>
        <v>58</v>
      </c>
      <c r="C46" s="17">
        <f t="shared" si="14"/>
        <v>58</v>
      </c>
      <c r="D46" s="11">
        <f t="shared" si="15"/>
        <v>2.4445357436318815</v>
      </c>
      <c r="E46" s="32">
        <f t="shared" si="16"/>
        <v>100</v>
      </c>
      <c r="F46" s="32">
        <f t="shared" si="17"/>
        <v>13</v>
      </c>
      <c r="G46" s="18">
        <f t="shared" si="18"/>
        <v>5.317983193277311</v>
      </c>
      <c r="M46" s="24">
        <v>44207</v>
      </c>
      <c r="N46">
        <v>10</v>
      </c>
      <c r="O46" s="17">
        <f t="shared" si="3"/>
        <v>1714</v>
      </c>
      <c r="P46">
        <v>43.9</v>
      </c>
      <c r="Q46">
        <v>0.5</v>
      </c>
      <c r="R46">
        <v>21.8</v>
      </c>
      <c r="S46" s="25">
        <v>-2.2</v>
      </c>
      <c r="T46" s="29">
        <f t="shared" si="4"/>
        <v>4.358823529411764</v>
      </c>
      <c r="U46" s="11">
        <f t="shared" si="5"/>
        <v>43.9</v>
      </c>
      <c r="V46" s="11">
        <f t="shared" si="6"/>
        <v>43.4</v>
      </c>
      <c r="W46" s="11">
        <f t="shared" si="7"/>
        <v>3.4917840375586855</v>
      </c>
      <c r="X46" s="11">
        <f t="shared" si="8"/>
        <v>1.2483084527928818</v>
      </c>
      <c r="Y46" s="30">
        <f t="shared" si="9"/>
        <v>100</v>
      </c>
      <c r="Z46" s="11">
        <f t="shared" si="10"/>
        <v>1.348308452792882</v>
      </c>
      <c r="AA46" s="31">
        <f t="shared" si="11"/>
        <v>2.696616905585764</v>
      </c>
      <c r="AB46" s="11">
        <f t="shared" si="12"/>
        <v>8.717647058823529</v>
      </c>
      <c r="AC46" s="18">
        <f t="shared" si="13"/>
        <v>6.2210301532377645</v>
      </c>
    </row>
    <row r="47" spans="1:29" ht="12.75">
      <c r="A47" s="9">
        <f t="shared" si="19"/>
        <v>0</v>
      </c>
      <c r="B47" s="17">
        <f t="shared" si="20"/>
        <v>59</v>
      </c>
      <c r="C47" s="17">
        <f t="shared" si="14"/>
        <v>59</v>
      </c>
      <c r="D47" s="11">
        <f t="shared" si="15"/>
        <v>2.395330112721417</v>
      </c>
      <c r="E47" s="32">
        <f t="shared" si="16"/>
        <v>100</v>
      </c>
      <c r="F47" s="32">
        <f t="shared" si="17"/>
        <v>13</v>
      </c>
      <c r="G47" s="18">
        <f t="shared" si="18"/>
        <v>5.427226890756303</v>
      </c>
      <c r="M47" s="24">
        <v>44212</v>
      </c>
      <c r="N47">
        <v>12</v>
      </c>
      <c r="O47" s="17">
        <f t="shared" si="3"/>
        <v>1836</v>
      </c>
      <c r="P47">
        <v>42.6</v>
      </c>
      <c r="Q47">
        <v>0.3</v>
      </c>
      <c r="R47">
        <v>21.6</v>
      </c>
      <c r="S47" s="25">
        <v>-4.6</v>
      </c>
      <c r="T47" s="29">
        <f t="shared" si="4"/>
        <v>4.758382352941177</v>
      </c>
      <c r="U47" s="11">
        <f t="shared" si="5"/>
        <v>42.6</v>
      </c>
      <c r="V47" s="11">
        <f t="shared" si="6"/>
        <v>42.300000000000004</v>
      </c>
      <c r="W47" s="11">
        <f t="shared" si="7"/>
        <v>3.608247422680412</v>
      </c>
      <c r="X47" s="11">
        <f t="shared" si="8"/>
        <v>1.3187516806722692</v>
      </c>
      <c r="Y47" s="30">
        <f t="shared" si="9"/>
        <v>100</v>
      </c>
      <c r="Z47" s="11">
        <f t="shared" si="10"/>
        <v>1.4187516806722693</v>
      </c>
      <c r="AA47" s="31">
        <f t="shared" si="11"/>
        <v>173.08770504201686</v>
      </c>
      <c r="AB47" s="11">
        <f t="shared" si="12"/>
        <v>580.5226470588236</v>
      </c>
      <c r="AC47" s="18">
        <f t="shared" si="13"/>
        <v>419.6349420168067</v>
      </c>
    </row>
    <row r="48" spans="1:29" ht="12.75">
      <c r="A48" s="9">
        <f t="shared" si="19"/>
        <v>0</v>
      </c>
      <c r="B48" s="17">
        <f t="shared" si="20"/>
        <v>60</v>
      </c>
      <c r="C48" s="17">
        <f t="shared" si="14"/>
        <v>60</v>
      </c>
      <c r="D48" s="11">
        <f t="shared" si="15"/>
        <v>2.3480662983425415</v>
      </c>
      <c r="E48" s="32">
        <f t="shared" si="16"/>
        <v>100</v>
      </c>
      <c r="F48" s="32">
        <f t="shared" si="17"/>
        <v>13</v>
      </c>
      <c r="G48" s="18">
        <f t="shared" si="18"/>
        <v>5.536470588235294</v>
      </c>
      <c r="M48" s="24">
        <v>44213</v>
      </c>
      <c r="N48">
        <v>23</v>
      </c>
      <c r="O48" s="17">
        <f t="shared" si="3"/>
        <v>1871</v>
      </c>
      <c r="P48">
        <v>44.6</v>
      </c>
      <c r="Q48">
        <v>0</v>
      </c>
      <c r="R48">
        <v>21.3</v>
      </c>
      <c r="S48" s="25">
        <v>-6.8</v>
      </c>
      <c r="T48" s="29">
        <f t="shared" si="4"/>
        <v>5.103455882352942</v>
      </c>
      <c r="U48" s="11">
        <f t="shared" si="5"/>
        <v>44.6</v>
      </c>
      <c r="V48" s="11">
        <f t="shared" si="6"/>
        <v>44.6</v>
      </c>
      <c r="W48" s="11">
        <f t="shared" si="7"/>
        <v>3.373015873015873</v>
      </c>
      <c r="X48" s="11">
        <f t="shared" si="8"/>
        <v>1.5130245674740488</v>
      </c>
      <c r="Y48" s="30">
        <f t="shared" si="9"/>
        <v>100</v>
      </c>
      <c r="Z48" s="11">
        <f t="shared" si="10"/>
        <v>1.6130245674740489</v>
      </c>
      <c r="AA48" s="31">
        <f t="shared" si="11"/>
        <v>56.45585986159171</v>
      </c>
      <c r="AB48" s="11">
        <f t="shared" si="12"/>
        <v>178.62095588235297</v>
      </c>
      <c r="AC48" s="18">
        <f t="shared" si="13"/>
        <v>125.66509602076127</v>
      </c>
    </row>
    <row r="49" spans="1:29" ht="12.75">
      <c r="A49" s="9">
        <f t="shared" si="19"/>
        <v>0</v>
      </c>
      <c r="B49" s="17">
        <f t="shared" si="20"/>
        <v>61</v>
      </c>
      <c r="C49" s="17">
        <f t="shared" si="14"/>
        <v>61</v>
      </c>
      <c r="D49" s="11">
        <f t="shared" si="15"/>
        <v>2.3026315789473686</v>
      </c>
      <c r="E49" s="32">
        <f t="shared" si="16"/>
        <v>100</v>
      </c>
      <c r="F49" s="32">
        <f t="shared" si="17"/>
        <v>13</v>
      </c>
      <c r="G49" s="18">
        <f t="shared" si="18"/>
        <v>5.645714285714285</v>
      </c>
      <c r="M49" s="24">
        <v>44214</v>
      </c>
      <c r="N49">
        <v>9</v>
      </c>
      <c r="O49" s="17">
        <f t="shared" si="3"/>
        <v>1881</v>
      </c>
      <c r="P49">
        <v>45.9</v>
      </c>
      <c r="Q49">
        <v>-0.5</v>
      </c>
      <c r="R49">
        <v>21.2</v>
      </c>
      <c r="S49" s="25">
        <v>-9.3</v>
      </c>
      <c r="T49" s="29">
        <f t="shared" si="4"/>
        <v>5.539338235294117</v>
      </c>
      <c r="U49" s="11">
        <f t="shared" si="5"/>
        <v>45.9</v>
      </c>
      <c r="V49" s="11">
        <f t="shared" si="6"/>
        <v>46.4</v>
      </c>
      <c r="W49" s="11">
        <f t="shared" si="7"/>
        <v>3.2092772384034522</v>
      </c>
      <c r="X49" s="11">
        <f t="shared" si="8"/>
        <v>1.7260391744933266</v>
      </c>
      <c r="Y49" s="30">
        <f t="shared" si="9"/>
        <v>100</v>
      </c>
      <c r="Z49" s="11">
        <f t="shared" si="10"/>
        <v>1.8260391744933266</v>
      </c>
      <c r="AA49" s="31">
        <f t="shared" si="11"/>
        <v>18.260391744933266</v>
      </c>
      <c r="AB49" s="11">
        <f t="shared" si="12"/>
        <v>55.393382352941174</v>
      </c>
      <c r="AC49" s="18">
        <f t="shared" si="13"/>
        <v>38.13299060800791</v>
      </c>
    </row>
    <row r="50" spans="1:29" ht="12.75">
      <c r="A50" s="9">
        <f t="shared" si="19"/>
        <v>0</v>
      </c>
      <c r="B50" s="17">
        <f t="shared" si="20"/>
        <v>62</v>
      </c>
      <c r="C50" s="17">
        <f t="shared" si="14"/>
        <v>62</v>
      </c>
      <c r="D50" s="11">
        <f t="shared" si="15"/>
        <v>2.258921791951405</v>
      </c>
      <c r="E50" s="32">
        <f t="shared" si="16"/>
        <v>100</v>
      </c>
      <c r="F50" s="32">
        <f t="shared" si="17"/>
        <v>13</v>
      </c>
      <c r="G50" s="18">
        <f t="shared" si="18"/>
        <v>5.754957983193277</v>
      </c>
      <c r="M50" s="24">
        <v>44214</v>
      </c>
      <c r="N50">
        <v>11</v>
      </c>
      <c r="O50" s="17">
        <f t="shared" si="3"/>
        <v>1883</v>
      </c>
      <c r="P50">
        <v>44.9</v>
      </c>
      <c r="Q50">
        <v>-0.3</v>
      </c>
      <c r="R50">
        <v>21.5</v>
      </c>
      <c r="S50" s="25">
        <v>-7.5</v>
      </c>
      <c r="T50" s="29">
        <f t="shared" si="4"/>
        <v>5.266911764705883</v>
      </c>
      <c r="U50" s="11">
        <f t="shared" si="5"/>
        <v>44.9</v>
      </c>
      <c r="V50" s="11">
        <f t="shared" si="6"/>
        <v>45.199999999999996</v>
      </c>
      <c r="W50" s="11">
        <f t="shared" si="7"/>
        <v>3.316610925306578</v>
      </c>
      <c r="X50" s="11">
        <f t="shared" si="8"/>
        <v>1.5880402867029164</v>
      </c>
      <c r="Y50" s="30">
        <f t="shared" si="9"/>
        <v>100</v>
      </c>
      <c r="Z50" s="11">
        <f t="shared" si="10"/>
        <v>1.6880402867029165</v>
      </c>
      <c r="AA50" s="31">
        <f t="shared" si="11"/>
        <v>3.376080573405833</v>
      </c>
      <c r="AB50" s="11">
        <f t="shared" si="12"/>
        <v>10.533823529411766</v>
      </c>
      <c r="AC50" s="18">
        <f t="shared" si="13"/>
        <v>7.357742956005933</v>
      </c>
    </row>
    <row r="51" spans="1:29" ht="12.75">
      <c r="A51" s="9">
        <f t="shared" si="19"/>
        <v>0</v>
      </c>
      <c r="B51" s="17">
        <f t="shared" si="20"/>
        <v>63</v>
      </c>
      <c r="C51" s="17">
        <f t="shared" si="14"/>
        <v>63</v>
      </c>
      <c r="D51" s="11">
        <f t="shared" si="15"/>
        <v>2.2168405365126675</v>
      </c>
      <c r="E51" s="32">
        <f t="shared" si="16"/>
        <v>100</v>
      </c>
      <c r="F51" s="32">
        <f t="shared" si="17"/>
        <v>13</v>
      </c>
      <c r="G51" s="18">
        <f t="shared" si="18"/>
        <v>5.864201680672269</v>
      </c>
      <c r="M51" s="24">
        <v>44227</v>
      </c>
      <c r="N51">
        <v>9</v>
      </c>
      <c r="O51" s="17">
        <f t="shared" si="3"/>
        <v>2193</v>
      </c>
      <c r="P51">
        <v>44.9</v>
      </c>
      <c r="Q51">
        <v>-0.2</v>
      </c>
      <c r="R51">
        <v>21.5</v>
      </c>
      <c r="S51" s="25">
        <v>-9.3</v>
      </c>
      <c r="T51" s="29">
        <f t="shared" si="4"/>
        <v>5.593823529411765</v>
      </c>
      <c r="U51" s="11">
        <f t="shared" si="5"/>
        <v>44.9</v>
      </c>
      <c r="V51" s="11">
        <f t="shared" si="6"/>
        <v>45.1</v>
      </c>
      <c r="W51" s="11">
        <f t="shared" si="7"/>
        <v>3.3258803801006147</v>
      </c>
      <c r="X51" s="11">
        <f t="shared" si="8"/>
        <v>1.6819076124567474</v>
      </c>
      <c r="Y51" s="30">
        <f t="shared" si="9"/>
        <v>100</v>
      </c>
      <c r="Z51" s="11">
        <f t="shared" si="10"/>
        <v>1.7819076124567474</v>
      </c>
      <c r="AA51" s="31">
        <f t="shared" si="11"/>
        <v>552.3913598615917</v>
      </c>
      <c r="AB51" s="11">
        <f t="shared" si="12"/>
        <v>1734.085294117647</v>
      </c>
      <c r="AC51" s="18">
        <f t="shared" si="13"/>
        <v>1212.6939342560554</v>
      </c>
    </row>
    <row r="52" spans="1:29" ht="12.75">
      <c r="A52" s="9">
        <f t="shared" si="19"/>
        <v>0</v>
      </c>
      <c r="B52" s="17">
        <f t="shared" si="20"/>
        <v>64</v>
      </c>
      <c r="C52" s="17">
        <f t="shared" si="14"/>
        <v>64</v>
      </c>
      <c r="D52" s="11">
        <f t="shared" si="15"/>
        <v>2.17629846378932</v>
      </c>
      <c r="E52" s="32">
        <f t="shared" si="16"/>
        <v>100</v>
      </c>
      <c r="F52" s="32">
        <f t="shared" si="17"/>
        <v>13</v>
      </c>
      <c r="G52" s="18">
        <f t="shared" si="18"/>
        <v>5.9734453781512595</v>
      </c>
      <c r="M52" s="24">
        <v>44228</v>
      </c>
      <c r="N52">
        <v>8</v>
      </c>
      <c r="O52" s="17">
        <f t="shared" si="3"/>
        <v>2216</v>
      </c>
      <c r="P52">
        <v>43.8</v>
      </c>
      <c r="Q52">
        <v>-0.4</v>
      </c>
      <c r="R52">
        <v>21.5</v>
      </c>
      <c r="S52" s="25">
        <v>-7.5</v>
      </c>
      <c r="T52" s="29">
        <f t="shared" si="4"/>
        <v>5.266911764705883</v>
      </c>
      <c r="U52" s="11">
        <f t="shared" si="5"/>
        <v>43.8</v>
      </c>
      <c r="V52" s="11">
        <f t="shared" si="6"/>
        <v>44.199999999999996</v>
      </c>
      <c r="W52" s="11">
        <f t="shared" si="7"/>
        <v>3.4116972477064222</v>
      </c>
      <c r="X52" s="11">
        <f t="shared" si="8"/>
        <v>1.5437805239742957</v>
      </c>
      <c r="Y52" s="30">
        <f t="shared" si="9"/>
        <v>100</v>
      </c>
      <c r="Z52" s="11">
        <f t="shared" si="10"/>
        <v>1.6437805239742957</v>
      </c>
      <c r="AA52" s="31">
        <f t="shared" si="11"/>
        <v>37.8069520514088</v>
      </c>
      <c r="AB52" s="11">
        <f t="shared" si="12"/>
        <v>121.13897058823531</v>
      </c>
      <c r="AC52" s="18">
        <f t="shared" si="13"/>
        <v>85.63201853682651</v>
      </c>
    </row>
    <row r="53" spans="1:29" ht="12.75">
      <c r="A53" s="19">
        <f t="shared" si="19"/>
        <v>0</v>
      </c>
      <c r="B53" s="20">
        <f t="shared" si="20"/>
        <v>65</v>
      </c>
      <c r="C53" s="20">
        <f t="shared" si="14"/>
        <v>65</v>
      </c>
      <c r="D53" s="21">
        <f t="shared" si="15"/>
        <v>2.137212643678161</v>
      </c>
      <c r="E53" s="33">
        <f t="shared" si="16"/>
        <v>100</v>
      </c>
      <c r="F53" s="33">
        <f t="shared" si="17"/>
        <v>13</v>
      </c>
      <c r="G53" s="22">
        <f t="shared" si="18"/>
        <v>6.0826890756302525</v>
      </c>
      <c r="M53" s="24">
        <v>44234</v>
      </c>
      <c r="N53">
        <v>15</v>
      </c>
      <c r="O53" s="17">
        <f t="shared" si="3"/>
        <v>2367</v>
      </c>
      <c r="P53">
        <v>41.4</v>
      </c>
      <c r="Q53">
        <v>0.3</v>
      </c>
      <c r="R53">
        <v>21.6</v>
      </c>
      <c r="S53" s="25">
        <v>-4.2</v>
      </c>
      <c r="T53" s="29">
        <f t="shared" si="4"/>
        <v>4.685735294117647</v>
      </c>
      <c r="U53" s="11">
        <f t="shared" si="5"/>
        <v>41.4</v>
      </c>
      <c r="V53" s="11">
        <f t="shared" si="6"/>
        <v>41.1</v>
      </c>
      <c r="W53" s="11">
        <f t="shared" si="7"/>
        <v>3.7444933920704844</v>
      </c>
      <c r="X53" s="11">
        <f t="shared" si="8"/>
        <v>1.251366955017301</v>
      </c>
      <c r="Y53" s="30">
        <f t="shared" si="9"/>
        <v>100</v>
      </c>
      <c r="Z53" s="11">
        <f t="shared" si="10"/>
        <v>1.351366955017301</v>
      </c>
      <c r="AA53" s="31">
        <f t="shared" si="11"/>
        <v>204.05641020761246</v>
      </c>
      <c r="AB53" s="11">
        <f t="shared" si="12"/>
        <v>707.5460294117647</v>
      </c>
      <c r="AC53" s="18">
        <f t="shared" si="13"/>
        <v>518.5896192041523</v>
      </c>
    </row>
    <row r="54" spans="3:29" ht="12.75">
      <c r="C54" s="11"/>
      <c r="M54" s="24">
        <v>44235</v>
      </c>
      <c r="N54">
        <v>24</v>
      </c>
      <c r="O54" s="17">
        <f t="shared" si="3"/>
        <v>2400</v>
      </c>
      <c r="P54">
        <v>43.8</v>
      </c>
      <c r="Q54">
        <v>-0.2</v>
      </c>
      <c r="R54">
        <v>21.5</v>
      </c>
      <c r="S54" s="25">
        <v>-8.6</v>
      </c>
      <c r="T54" s="29">
        <f t="shared" si="4"/>
        <v>5.466691176470587</v>
      </c>
      <c r="U54" s="11">
        <f t="shared" si="5"/>
        <v>43.8</v>
      </c>
      <c r="V54" s="11">
        <f t="shared" si="6"/>
        <v>44</v>
      </c>
      <c r="W54" s="11">
        <f t="shared" si="7"/>
        <v>3.431372549019608</v>
      </c>
      <c r="X54" s="11">
        <f t="shared" si="8"/>
        <v>1.5931499999999996</v>
      </c>
      <c r="Y54" s="30">
        <f t="shared" si="9"/>
        <v>100</v>
      </c>
      <c r="Z54" s="11">
        <f t="shared" si="10"/>
        <v>1.6931499999999997</v>
      </c>
      <c r="AA54" s="31">
        <f t="shared" si="11"/>
        <v>55.873949999999994</v>
      </c>
      <c r="AB54" s="11">
        <f t="shared" si="12"/>
        <v>180.4008088235294</v>
      </c>
      <c r="AC54" s="18">
        <f t="shared" si="13"/>
        <v>127.82685882352939</v>
      </c>
    </row>
    <row r="55" spans="3:29" ht="12.75">
      <c r="C55" s="11"/>
      <c r="M55" s="24">
        <v>44236</v>
      </c>
      <c r="N55">
        <v>20</v>
      </c>
      <c r="O55" s="17">
        <f t="shared" si="3"/>
        <v>2420</v>
      </c>
      <c r="P55">
        <v>44.8</v>
      </c>
      <c r="Q55">
        <v>-0.8</v>
      </c>
      <c r="R55">
        <v>21.3</v>
      </c>
      <c r="S55" s="25">
        <v>-9</v>
      </c>
      <c r="T55" s="29">
        <f t="shared" si="4"/>
        <v>5.503014705882354</v>
      </c>
      <c r="U55" s="11">
        <f t="shared" si="5"/>
        <v>44.8</v>
      </c>
      <c r="V55" s="11">
        <f t="shared" si="6"/>
        <v>45.599999999999994</v>
      </c>
      <c r="W55" s="11">
        <f t="shared" si="7"/>
        <v>3.280044101433297</v>
      </c>
      <c r="X55" s="11">
        <f t="shared" si="8"/>
        <v>1.67772582797825</v>
      </c>
      <c r="Y55" s="30">
        <f t="shared" si="9"/>
        <v>100</v>
      </c>
      <c r="Z55" s="11">
        <f t="shared" si="10"/>
        <v>1.7777258279782502</v>
      </c>
      <c r="AA55" s="31">
        <f t="shared" si="11"/>
        <v>35.554516559565</v>
      </c>
      <c r="AB55" s="11">
        <f t="shared" si="12"/>
        <v>110.06029411764708</v>
      </c>
      <c r="AC55" s="18">
        <f t="shared" si="13"/>
        <v>76.50577755808207</v>
      </c>
    </row>
    <row r="56" spans="3:29" ht="12.75">
      <c r="C56" s="11"/>
      <c r="M56" s="24">
        <v>44237</v>
      </c>
      <c r="N56">
        <v>1</v>
      </c>
      <c r="O56" s="17">
        <f t="shared" si="3"/>
        <v>2425</v>
      </c>
      <c r="P56">
        <v>45</v>
      </c>
      <c r="Q56">
        <v>-0.9</v>
      </c>
      <c r="R56">
        <v>21.3</v>
      </c>
      <c r="S56" s="25">
        <v>-10</v>
      </c>
      <c r="T56" s="29">
        <f t="shared" si="4"/>
        <v>5.684632352941176</v>
      </c>
      <c r="U56" s="11">
        <f t="shared" si="5"/>
        <v>45</v>
      </c>
      <c r="V56" s="11">
        <f t="shared" si="6"/>
        <v>45.9</v>
      </c>
      <c r="W56" s="11">
        <f t="shared" si="7"/>
        <v>3.253143794423182</v>
      </c>
      <c r="X56" s="11">
        <f t="shared" si="8"/>
        <v>1.7474273232822541</v>
      </c>
      <c r="Y56" s="30">
        <f t="shared" si="9"/>
        <v>100</v>
      </c>
      <c r="Z56" s="11">
        <f t="shared" si="10"/>
        <v>1.8474273232822542</v>
      </c>
      <c r="AA56" s="31">
        <f t="shared" si="11"/>
        <v>9.237136616411272</v>
      </c>
      <c r="AB56" s="11">
        <f t="shared" si="12"/>
        <v>28.42316176470588</v>
      </c>
      <c r="AC56" s="18">
        <f t="shared" si="13"/>
        <v>19.68602514829461</v>
      </c>
    </row>
    <row r="57" spans="13:29" ht="12.75">
      <c r="M57" s="24">
        <v>44237</v>
      </c>
      <c r="N57">
        <v>9</v>
      </c>
      <c r="O57" s="17">
        <f t="shared" si="3"/>
        <v>2433</v>
      </c>
      <c r="P57">
        <v>46</v>
      </c>
      <c r="Q57">
        <v>-0.8</v>
      </c>
      <c r="R57">
        <v>21.3</v>
      </c>
      <c r="S57" s="25">
        <v>-11</v>
      </c>
      <c r="T57" s="29">
        <f t="shared" si="4"/>
        <v>5.86625</v>
      </c>
      <c r="U57" s="11">
        <f t="shared" si="5"/>
        <v>46</v>
      </c>
      <c r="V57" s="11">
        <f t="shared" si="6"/>
        <v>46.8</v>
      </c>
      <c r="W57" s="11">
        <f t="shared" si="7"/>
        <v>3.175026680896478</v>
      </c>
      <c r="X57" s="11">
        <f t="shared" si="8"/>
        <v>1.847622268907563</v>
      </c>
      <c r="Y57" s="30">
        <f t="shared" si="9"/>
        <v>100</v>
      </c>
      <c r="Z57" s="11">
        <f t="shared" si="10"/>
        <v>1.947622268907563</v>
      </c>
      <c r="AA57" s="31">
        <f t="shared" si="11"/>
        <v>15.580978151260505</v>
      </c>
      <c r="AB57" s="11">
        <f t="shared" si="12"/>
        <v>46.93</v>
      </c>
      <c r="AC57" s="18">
        <f t="shared" si="13"/>
        <v>32.149021848739494</v>
      </c>
    </row>
    <row r="58" spans="13:29" ht="12.75">
      <c r="M58" s="24">
        <v>44240</v>
      </c>
      <c r="N58">
        <v>18</v>
      </c>
      <c r="O58" s="17">
        <f t="shared" si="3"/>
        <v>2514</v>
      </c>
      <c r="P58">
        <v>46.3</v>
      </c>
      <c r="Q58">
        <v>-1.7</v>
      </c>
      <c r="R58">
        <v>21.6</v>
      </c>
      <c r="S58" s="25">
        <v>-5.4</v>
      </c>
      <c r="T58" s="29">
        <f t="shared" si="4"/>
        <v>4.903676470588235</v>
      </c>
      <c r="U58" s="11">
        <f t="shared" si="5"/>
        <v>46.3</v>
      </c>
      <c r="V58" s="11">
        <f t="shared" si="6"/>
        <v>48</v>
      </c>
      <c r="W58" s="11">
        <f t="shared" si="7"/>
        <v>3.076525336091003</v>
      </c>
      <c r="X58" s="11">
        <f t="shared" si="8"/>
        <v>1.5939008897676716</v>
      </c>
      <c r="Y58" s="30">
        <f t="shared" si="9"/>
        <v>100</v>
      </c>
      <c r="Z58" s="11">
        <f t="shared" si="10"/>
        <v>1.6939008897676717</v>
      </c>
      <c r="AA58" s="31">
        <f t="shared" si="11"/>
        <v>137.2059720711814</v>
      </c>
      <c r="AB58" s="11">
        <f t="shared" si="12"/>
        <v>397.19779411764705</v>
      </c>
      <c r="AC58" s="18">
        <f t="shared" si="13"/>
        <v>268.0918220464656</v>
      </c>
    </row>
    <row r="59" spans="13:29" ht="12.75">
      <c r="M59" s="24">
        <v>44242</v>
      </c>
      <c r="N59">
        <v>1</v>
      </c>
      <c r="O59" s="17">
        <f t="shared" si="3"/>
        <v>2545</v>
      </c>
      <c r="P59">
        <v>45.6</v>
      </c>
      <c r="Q59">
        <v>-1.8</v>
      </c>
      <c r="R59">
        <v>21.6</v>
      </c>
      <c r="S59" s="25">
        <v>-11.2</v>
      </c>
      <c r="T59" s="29">
        <f t="shared" si="4"/>
        <v>5.957058823529411</v>
      </c>
      <c r="U59" s="11">
        <f t="shared" si="5"/>
        <v>45.6</v>
      </c>
      <c r="V59" s="11">
        <f t="shared" si="6"/>
        <v>47.4</v>
      </c>
      <c r="W59" s="11">
        <f t="shared" si="7"/>
        <v>3.125</v>
      </c>
      <c r="X59" s="11">
        <f t="shared" si="8"/>
        <v>1.9062588235294116</v>
      </c>
      <c r="Y59" s="30">
        <f t="shared" si="9"/>
        <v>100</v>
      </c>
      <c r="Z59" s="11">
        <f t="shared" si="10"/>
        <v>2.0062588235294117</v>
      </c>
      <c r="AA59" s="31">
        <f t="shared" si="11"/>
        <v>62.19402352941176</v>
      </c>
      <c r="AB59" s="11">
        <f t="shared" si="12"/>
        <v>184.66882352941172</v>
      </c>
      <c r="AC59" s="18">
        <f t="shared" si="13"/>
        <v>125.57479999999997</v>
      </c>
    </row>
    <row r="60" spans="13:29" ht="12.75">
      <c r="M60" s="24">
        <v>44242</v>
      </c>
      <c r="N60">
        <v>13</v>
      </c>
      <c r="O60" s="17">
        <f t="shared" si="3"/>
        <v>2557</v>
      </c>
      <c r="P60">
        <v>43.8</v>
      </c>
      <c r="Q60">
        <v>-1.6</v>
      </c>
      <c r="R60">
        <v>22.1</v>
      </c>
      <c r="S60" s="25">
        <v>-8.1</v>
      </c>
      <c r="T60" s="29">
        <f t="shared" si="4"/>
        <v>5.484852941176472</v>
      </c>
      <c r="U60" s="11">
        <f t="shared" si="5"/>
        <v>43.8</v>
      </c>
      <c r="V60" s="11">
        <f t="shared" si="6"/>
        <v>45.4</v>
      </c>
      <c r="W60" s="11">
        <f t="shared" si="7"/>
        <v>3.2982261640798227</v>
      </c>
      <c r="X60" s="11">
        <f t="shared" si="8"/>
        <v>1.6629705388037572</v>
      </c>
      <c r="Y60" s="30">
        <f t="shared" si="9"/>
        <v>100</v>
      </c>
      <c r="Z60" s="11">
        <f t="shared" si="10"/>
        <v>1.7629705388037573</v>
      </c>
      <c r="AA60" s="31">
        <f t="shared" si="11"/>
        <v>21.155646465645088</v>
      </c>
      <c r="AB60" s="11">
        <f t="shared" si="12"/>
        <v>65.81823529411767</v>
      </c>
      <c r="AC60" s="18">
        <f t="shared" si="13"/>
        <v>45.862588828472575</v>
      </c>
    </row>
    <row r="61" spans="13:29" ht="12.75">
      <c r="M61" s="34">
        <v>44242</v>
      </c>
      <c r="N61" s="20">
        <v>17</v>
      </c>
      <c r="O61" s="20">
        <f t="shared" si="3"/>
        <v>2561</v>
      </c>
      <c r="P61" s="20">
        <v>47.6</v>
      </c>
      <c r="Q61" s="20">
        <v>-2.5</v>
      </c>
      <c r="R61" s="20">
        <v>21.6</v>
      </c>
      <c r="S61" s="35">
        <v>-7.4</v>
      </c>
      <c r="T61" s="36">
        <f t="shared" si="4"/>
        <v>5.266911764705883</v>
      </c>
      <c r="U61" s="21">
        <f t="shared" si="5"/>
        <v>47.6</v>
      </c>
      <c r="V61" s="21">
        <f t="shared" si="6"/>
        <v>50.1</v>
      </c>
      <c r="W61" s="21">
        <f t="shared" si="7"/>
        <v>2.918097106424718</v>
      </c>
      <c r="X61" s="21">
        <f t="shared" si="8"/>
        <v>1.804913124073159</v>
      </c>
      <c r="Y61" s="37">
        <f t="shared" si="9"/>
        <v>100</v>
      </c>
      <c r="Z61" s="21">
        <f t="shared" si="10"/>
        <v>1.9049131240731592</v>
      </c>
      <c r="AA61" s="21">
        <f t="shared" si="11"/>
        <v>7.619652496292637</v>
      </c>
      <c r="AB61" s="21">
        <f t="shared" si="12"/>
        <v>21.067647058823532</v>
      </c>
      <c r="AC61" s="22">
        <f t="shared" si="13"/>
        <v>13.847994562530896</v>
      </c>
    </row>
    <row r="62" spans="27:29" ht="12.75">
      <c r="AA62" t="s">
        <v>73</v>
      </c>
      <c r="AB62" t="s">
        <v>74</v>
      </c>
      <c r="AC62" t="s">
        <v>75</v>
      </c>
    </row>
    <row r="63" spans="27:29" ht="12.75">
      <c r="AA63" s="30">
        <f>SUM(AA15:AA61)</f>
        <v>2834.8026208702636</v>
      </c>
      <c r="AB63" s="11">
        <f>SUM(AB15:AB61)</f>
        <v>9596.040808823533</v>
      </c>
      <c r="AC63" s="11">
        <f>SUM(AC15:AC61)</f>
        <v>6980.508587953266</v>
      </c>
    </row>
    <row r="65" ht="12.75">
      <c r="Y65" t="s">
        <v>76</v>
      </c>
    </row>
    <row r="66" ht="12.75">
      <c r="Y66" t="s">
        <v>77</v>
      </c>
    </row>
    <row r="67" spans="28:29" ht="12.75">
      <c r="AB67" t="s">
        <v>78</v>
      </c>
      <c r="AC67" t="s">
        <v>79</v>
      </c>
    </row>
    <row r="68" spans="25:29" ht="12.75">
      <c r="Y68" s="6" t="s">
        <v>80</v>
      </c>
      <c r="Z68" s="4"/>
      <c r="AA68" s="4"/>
      <c r="AB68" s="4">
        <v>9596</v>
      </c>
      <c r="AC68" s="38">
        <f aca="true" t="shared" si="21" ref="AC68:AC69">AB68*$AC$70/$AB$70</f>
        <v>13780.625088189641</v>
      </c>
    </row>
    <row r="69" spans="25:29" ht="12.75">
      <c r="Y69" s="12" t="s">
        <v>81</v>
      </c>
      <c r="Z69" s="39"/>
      <c r="AA69" s="39"/>
      <c r="AB69" s="39">
        <v>3959</v>
      </c>
      <c r="AC69" s="18">
        <f t="shared" si="21"/>
        <v>5685.441300973614</v>
      </c>
    </row>
    <row r="70" spans="25:29" ht="12.75">
      <c r="Y70" s="12" t="s">
        <v>82</v>
      </c>
      <c r="Z70" s="39"/>
      <c r="AA70" s="39"/>
      <c r="AB70" s="39">
        <v>2834.8</v>
      </c>
      <c r="AC70" s="40">
        <f>AF17</f>
        <v>4071</v>
      </c>
    </row>
    <row r="71" spans="25:29" ht="12.75">
      <c r="Y71" s="12" t="s">
        <v>83</v>
      </c>
      <c r="Z71" s="39"/>
      <c r="AA71" s="39"/>
      <c r="AB71" s="39">
        <v>1071.1</v>
      </c>
      <c r="AC71" s="41">
        <f>AC70*AB72</f>
        <v>1538.1854451813178</v>
      </c>
    </row>
    <row r="72" spans="25:29" ht="12.75">
      <c r="Y72" s="12" t="s">
        <v>84</v>
      </c>
      <c r="Z72" s="39"/>
      <c r="AA72" s="39"/>
      <c r="AB72" s="31">
        <f>AB71/AB70</f>
        <v>0.37783970650486803</v>
      </c>
      <c r="AC72" s="25"/>
    </row>
    <row r="73" spans="25:29" ht="12.75">
      <c r="Y73" s="12" t="s">
        <v>85</v>
      </c>
      <c r="Z73" s="39"/>
      <c r="AA73" s="39"/>
      <c r="AB73" s="31">
        <f>AB69/AB68</f>
        <v>0.4125677365568987</v>
      </c>
      <c r="AC73" s="25"/>
    </row>
    <row r="74" spans="25:29" ht="12.75">
      <c r="Y74" s="12" t="s">
        <v>86</v>
      </c>
      <c r="Z74" s="39"/>
      <c r="AA74" s="39"/>
      <c r="AB74" s="39">
        <v>6980.51</v>
      </c>
      <c r="AC74" s="41">
        <f aca="true" t="shared" si="22" ref="AC74:AC75">AB74*$AC$70/$AB$70</f>
        <v>10024.571825172852</v>
      </c>
    </row>
    <row r="75" spans="25:29" ht="12.75">
      <c r="Y75" s="12" t="s">
        <v>87</v>
      </c>
      <c r="Z75" s="39"/>
      <c r="AA75" s="39"/>
      <c r="AB75" s="39">
        <v>2935</v>
      </c>
      <c r="AC75" s="41">
        <f t="shared" si="22"/>
        <v>4214.895230704105</v>
      </c>
    </row>
    <row r="76" spans="25:29" ht="12.75">
      <c r="Y76" s="15" t="s">
        <v>88</v>
      </c>
      <c r="Z76" s="20"/>
      <c r="AA76" s="20"/>
      <c r="AB76" s="21">
        <f>AB75/AB74</f>
        <v>0.4204563849919275</v>
      </c>
      <c r="AC76" s="3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2022-05-03T15:06:06Z</dcterms:modified>
  <cp:category/>
  <cp:version/>
  <cp:contentType/>
  <cp:contentStatus/>
  <cp:revision>26</cp:revision>
</cp:coreProperties>
</file>